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inoueh\株式会社エヌ・ティ・ティ・データ経営研究所\重層的支援事業 - General\14_基礎編（全国研修）\02_ライブ研修①\配布資料\"/>
    </mc:Choice>
  </mc:AlternateContent>
  <bookViews>
    <workbookView xWindow="2400" yWindow="0" windowWidth="15345" windowHeight="4485" tabRatio="712"/>
  </bookViews>
  <sheets>
    <sheet name="表紙" sheetId="17" r:id="rId1"/>
    <sheet name="人口動態" sheetId="1" r:id="rId2"/>
    <sheet name="人口グラフ" sheetId="13" r:id="rId3"/>
    <sheet name="世帯構成" sheetId="3" r:id="rId4"/>
    <sheet name="世帯グラフ" sheetId="16" r:id="rId5"/>
    <sheet name="つながりの少ない者" sheetId="5" r:id="rId6"/>
    <sheet name="地域別男女５歳階級別人口" sheetId="4" r:id="rId7"/>
    <sheet name="年齢階級別男女別世帯主割合" sheetId="2" r:id="rId8"/>
    <sheet name="人口データテーブル" sheetId="7" r:id="rId9"/>
    <sheet name="推計世帯データテーブル" sheetId="10" r:id="rId10"/>
  </sheets>
  <definedNames>
    <definedName name="_xlnm.Print_Area" localSheetId="5">つながりの少ない者!$A$1:$I$39</definedName>
    <definedName name="_xlnm.Print_Area" localSheetId="2">人口グラフ!$A$1:$P$40</definedName>
    <definedName name="_xlnm.Print_Area" localSheetId="1">人口動態!$A$1:$I$39</definedName>
    <definedName name="_xlnm.Print_Area" localSheetId="4">世帯グラフ!$B$1:$J$40</definedName>
    <definedName name="_xlnm.Print_Area" localSheetId="3">世帯構成!$B$1:$J$30</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3" i="10" l="1"/>
  <c r="AD4" i="10"/>
  <c r="AD5" i="10"/>
  <c r="AD6" i="10"/>
  <c r="AD7" i="10"/>
  <c r="AD8" i="10"/>
  <c r="AD9" i="10"/>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2" i="10"/>
  <c r="A1" i="7"/>
  <c r="B40" i="7" a="1"/>
  <c r="B40" i="7"/>
  <c r="B21" i="7" a="1"/>
  <c r="B21" i="7"/>
  <c r="B2" i="7" a="1"/>
  <c r="B2" i="7"/>
  <c r="F58" i="7"/>
  <c r="E57" i="7"/>
  <c r="D56" i="7"/>
  <c r="M56" i="7"/>
  <c r="C55" i="7"/>
  <c r="B54" i="7"/>
  <c r="K54" i="7"/>
  <c r="D13" i="10"/>
  <c r="M13" i="10"/>
  <c r="U13" i="10"/>
  <c r="H52" i="7"/>
  <c r="G51" i="7"/>
  <c r="P51" i="7"/>
  <c r="F50" i="7"/>
  <c r="O50" i="7"/>
  <c r="E48" i="7"/>
  <c r="N48" i="7"/>
  <c r="C46" i="7"/>
  <c r="L46" i="7"/>
  <c r="D20" i="10"/>
  <c r="Q20" i="10"/>
  <c r="H43" i="7"/>
  <c r="F41" i="7"/>
  <c r="C58" i="7"/>
  <c r="G58" i="7"/>
  <c r="F57" i="7"/>
  <c r="E56" i="7"/>
  <c r="N56" i="7"/>
  <c r="D55" i="7"/>
  <c r="C54" i="7"/>
  <c r="L54" i="7"/>
  <c r="D28" i="10"/>
  <c r="N28" i="10"/>
  <c r="B53" i="7"/>
  <c r="H51" i="7"/>
  <c r="G50" i="7"/>
  <c r="P50" i="7"/>
  <c r="D84" i="10"/>
  <c r="B49" i="7"/>
  <c r="K49" i="7"/>
  <c r="G46" i="7"/>
  <c r="P46" i="7"/>
  <c r="E44" i="7"/>
  <c r="C42" i="7"/>
  <c r="B57" i="7"/>
  <c r="H55" i="7"/>
  <c r="G54" i="7"/>
  <c r="P54" i="7"/>
  <c r="D88" i="10"/>
  <c r="O88" i="10"/>
  <c r="F53" i="7"/>
  <c r="E52" i="7"/>
  <c r="N52" i="7"/>
  <c r="D56" i="10"/>
  <c r="N56" i="10"/>
  <c r="D51" i="7"/>
  <c r="M51" i="7"/>
  <c r="C50" i="7"/>
  <c r="L50" i="7"/>
  <c r="D24" i="10"/>
  <c r="M24" i="10"/>
  <c r="U24" i="10"/>
  <c r="H47" i="7"/>
  <c r="F45" i="7"/>
  <c r="O45" i="7"/>
  <c r="D64" i="10"/>
  <c r="D43" i="7"/>
  <c r="B41" i="7"/>
  <c r="D52" i="10"/>
  <c r="N52" i="10"/>
  <c r="B58" i="7"/>
  <c r="H56" i="7"/>
  <c r="G55" i="7"/>
  <c r="F54" i="7"/>
  <c r="O54" i="7"/>
  <c r="D73" i="10"/>
  <c r="E53" i="7"/>
  <c r="D52" i="7"/>
  <c r="M52" i="7"/>
  <c r="C51" i="7"/>
  <c r="L51" i="7"/>
  <c r="D25" i="10"/>
  <c r="F49" i="7"/>
  <c r="O49" i="7"/>
  <c r="D68" i="10"/>
  <c r="O68" i="10"/>
  <c r="D47" i="7"/>
  <c r="M47" i="7"/>
  <c r="D36" i="10"/>
  <c r="B45" i="7"/>
  <c r="K45" i="7"/>
  <c r="G42" i="7"/>
  <c r="E40" i="7"/>
  <c r="D60" i="10"/>
  <c r="O60" i="10"/>
  <c r="D40" i="10"/>
  <c r="D80" i="10"/>
  <c r="D4" i="10"/>
  <c r="M4" i="10"/>
  <c r="U4" i="10"/>
  <c r="D85" i="10"/>
  <c r="D69" i="10"/>
  <c r="P69" i="10"/>
  <c r="D41" i="10"/>
  <c r="P36" i="10"/>
  <c r="D45" i="10"/>
  <c r="D8" i="10"/>
  <c r="B50" i="7"/>
  <c r="K50" i="7"/>
  <c r="D9" i="10"/>
  <c r="E49" i="7"/>
  <c r="N49" i="7"/>
  <c r="D53" i="10"/>
  <c r="M53" i="10"/>
  <c r="U53" i="10"/>
  <c r="H48" i="7"/>
  <c r="D48" i="7"/>
  <c r="M48" i="7"/>
  <c r="D37" i="10"/>
  <c r="Q37" i="10"/>
  <c r="G47" i="7"/>
  <c r="P47" i="7"/>
  <c r="D81" i="10"/>
  <c r="C47" i="7"/>
  <c r="L47" i="7"/>
  <c r="D21" i="10"/>
  <c r="F46" i="7"/>
  <c r="O46" i="7"/>
  <c r="D65" i="10"/>
  <c r="B46" i="7"/>
  <c r="K46" i="7"/>
  <c r="D5" i="10"/>
  <c r="E45" i="7"/>
  <c r="N45" i="7"/>
  <c r="D49" i="10"/>
  <c r="H44" i="7"/>
  <c r="D44" i="7"/>
  <c r="G43" i="7"/>
  <c r="C43" i="7"/>
  <c r="F42" i="7"/>
  <c r="B42" i="7"/>
  <c r="E41" i="7"/>
  <c r="H40" i="7"/>
  <c r="D40" i="7"/>
  <c r="E58" i="7"/>
  <c r="H57" i="7"/>
  <c r="D57" i="7"/>
  <c r="G56" i="7"/>
  <c r="P56" i="7"/>
  <c r="D90" i="10"/>
  <c r="P90" i="10"/>
  <c r="C56" i="7"/>
  <c r="L56" i="7"/>
  <c r="D30" i="10"/>
  <c r="N30" i="10"/>
  <c r="F55" i="7"/>
  <c r="B55" i="7"/>
  <c r="E54" i="7"/>
  <c r="N54" i="7"/>
  <c r="D58" i="10"/>
  <c r="M58" i="10"/>
  <c r="U58" i="10"/>
  <c r="H53" i="7"/>
  <c r="D53" i="7"/>
  <c r="G52" i="7"/>
  <c r="P52" i="7"/>
  <c r="D86" i="10"/>
  <c r="P86" i="10"/>
  <c r="C52" i="7"/>
  <c r="L52" i="7"/>
  <c r="D26" i="10"/>
  <c r="N26" i="10"/>
  <c r="F51" i="7"/>
  <c r="O51" i="7"/>
  <c r="D70" i="10"/>
  <c r="B51" i="7"/>
  <c r="K51" i="7"/>
  <c r="D10" i="10"/>
  <c r="E50" i="7"/>
  <c r="N50" i="7"/>
  <c r="D54" i="10"/>
  <c r="Q54" i="10"/>
  <c r="H49" i="7"/>
  <c r="D49" i="7"/>
  <c r="M49" i="7"/>
  <c r="D38" i="10"/>
  <c r="G48" i="7"/>
  <c r="P48" i="7"/>
  <c r="D82" i="10"/>
  <c r="O82" i="10"/>
  <c r="C48" i="7"/>
  <c r="L48" i="7"/>
  <c r="D22" i="10"/>
  <c r="M22" i="10"/>
  <c r="U22" i="10"/>
  <c r="F47" i="7"/>
  <c r="O47" i="7"/>
  <c r="D66" i="10"/>
  <c r="M66" i="10"/>
  <c r="U66" i="10"/>
  <c r="B47" i="7"/>
  <c r="K47" i="7"/>
  <c r="D6" i="10"/>
  <c r="N6" i="10"/>
  <c r="E46" i="7"/>
  <c r="N46" i="7"/>
  <c r="D50" i="10"/>
  <c r="Q50" i="10"/>
  <c r="H45" i="7"/>
  <c r="D45" i="7"/>
  <c r="M45" i="7"/>
  <c r="D34" i="10"/>
  <c r="G44" i="7"/>
  <c r="C44" i="7"/>
  <c r="F43" i="7"/>
  <c r="B43" i="7"/>
  <c r="E42" i="7"/>
  <c r="H41" i="7"/>
  <c r="D41" i="7"/>
  <c r="G40" i="7"/>
  <c r="C40" i="7"/>
  <c r="H58" i="7"/>
  <c r="D58" i="7"/>
  <c r="G57" i="7"/>
  <c r="C57" i="7"/>
  <c r="F56" i="7"/>
  <c r="O56" i="7"/>
  <c r="D75" i="10"/>
  <c r="M75" i="10"/>
  <c r="U75" i="10"/>
  <c r="B56" i="7"/>
  <c r="K56" i="7"/>
  <c r="D15" i="10"/>
  <c r="E55" i="7"/>
  <c r="H54" i="7"/>
  <c r="D54" i="7"/>
  <c r="M54" i="7"/>
  <c r="D43" i="10"/>
  <c r="Q43" i="10"/>
  <c r="G53" i="7"/>
  <c r="C53" i="7"/>
  <c r="F52" i="7"/>
  <c r="O52" i="7"/>
  <c r="D71" i="10"/>
  <c r="O71" i="10"/>
  <c r="B52" i="7"/>
  <c r="K52" i="7"/>
  <c r="D11" i="10"/>
  <c r="E51" i="7"/>
  <c r="N51" i="7"/>
  <c r="D55" i="10"/>
  <c r="H50" i="7"/>
  <c r="D50" i="7"/>
  <c r="M50" i="7"/>
  <c r="D39" i="10"/>
  <c r="G49" i="7"/>
  <c r="P49" i="7"/>
  <c r="D83" i="10"/>
  <c r="C49" i="7"/>
  <c r="L49" i="7"/>
  <c r="D23" i="10"/>
  <c r="F48" i="7"/>
  <c r="O48" i="7"/>
  <c r="D67" i="10"/>
  <c r="N67" i="10"/>
  <c r="B48" i="7"/>
  <c r="K48" i="7"/>
  <c r="D7" i="10"/>
  <c r="E47" i="7"/>
  <c r="N47" i="7"/>
  <c r="D51" i="10"/>
  <c r="H46" i="7"/>
  <c r="D46" i="7"/>
  <c r="M46" i="7"/>
  <c r="D35" i="10"/>
  <c r="Q35" i="10"/>
  <c r="G45" i="7"/>
  <c r="P45" i="7"/>
  <c r="D79" i="10"/>
  <c r="C45" i="7"/>
  <c r="L45" i="7"/>
  <c r="D19" i="10"/>
  <c r="F44" i="7"/>
  <c r="B44" i="7"/>
  <c r="E43" i="7"/>
  <c r="H42" i="7"/>
  <c r="D42" i="7"/>
  <c r="G41" i="7"/>
  <c r="C41" i="7"/>
  <c r="F40" i="7"/>
  <c r="C39" i="7"/>
  <c r="B38" i="7"/>
  <c r="H36" i="7"/>
  <c r="G35" i="7"/>
  <c r="P35" i="7"/>
  <c r="C88" i="10"/>
  <c r="L88" i="10"/>
  <c r="F34" i="7"/>
  <c r="E33" i="7"/>
  <c r="N33" i="7"/>
  <c r="C56" i="10"/>
  <c r="D32" i="7"/>
  <c r="M32" i="7"/>
  <c r="C40" i="10"/>
  <c r="C31" i="7"/>
  <c r="L31" i="7"/>
  <c r="C24" i="10"/>
  <c r="K24" i="10"/>
  <c r="B30" i="7"/>
  <c r="K30" i="7"/>
  <c r="C8" i="10"/>
  <c r="H28" i="7"/>
  <c r="G27" i="7"/>
  <c r="P27" i="7"/>
  <c r="C80" i="10"/>
  <c r="F26" i="7"/>
  <c r="O26" i="7"/>
  <c r="C64" i="10"/>
  <c r="L64" i="10"/>
  <c r="E25" i="7"/>
  <c r="D24" i="7"/>
  <c r="C23" i="7"/>
  <c r="B22" i="7"/>
  <c r="F39" i="7"/>
  <c r="E38" i="7"/>
  <c r="D37" i="7"/>
  <c r="M37" i="7"/>
  <c r="C45" i="10"/>
  <c r="C36" i="7"/>
  <c r="B35" i="7"/>
  <c r="K35" i="7"/>
  <c r="C13" i="10"/>
  <c r="H33" i="7"/>
  <c r="G32" i="7"/>
  <c r="P32" i="7"/>
  <c r="C85" i="10"/>
  <c r="F31" i="7"/>
  <c r="O31" i="7"/>
  <c r="C69" i="10"/>
  <c r="E30" i="7"/>
  <c r="N30" i="7"/>
  <c r="C53" i="10"/>
  <c r="L53" i="10"/>
  <c r="D29" i="7"/>
  <c r="M29" i="7"/>
  <c r="C37" i="10"/>
  <c r="H37" i="10"/>
  <c r="T37" i="10"/>
  <c r="C28" i="7"/>
  <c r="L28" i="7"/>
  <c r="C21" i="10"/>
  <c r="B27" i="7"/>
  <c r="K27" i="7"/>
  <c r="C5" i="10"/>
  <c r="H5" i="10"/>
  <c r="T5" i="10"/>
  <c r="H25" i="7"/>
  <c r="G24" i="7"/>
  <c r="F23" i="7"/>
  <c r="E22" i="7"/>
  <c r="D21" i="7"/>
  <c r="E39" i="7"/>
  <c r="H38" i="7"/>
  <c r="D38" i="7"/>
  <c r="G37" i="7"/>
  <c r="P37" i="7"/>
  <c r="C90" i="10"/>
  <c r="K90" i="10"/>
  <c r="C37" i="7"/>
  <c r="L37" i="7"/>
  <c r="C30" i="10"/>
  <c r="I30" i="10"/>
  <c r="F36" i="7"/>
  <c r="B36" i="7"/>
  <c r="E35" i="7"/>
  <c r="N35" i="7"/>
  <c r="C58" i="10"/>
  <c r="H58" i="10"/>
  <c r="T58" i="10"/>
  <c r="H34" i="7"/>
  <c r="D34" i="7"/>
  <c r="G33" i="7"/>
  <c r="P33" i="7"/>
  <c r="C86" i="10"/>
  <c r="I86" i="10"/>
  <c r="C33" i="7"/>
  <c r="L33" i="7"/>
  <c r="C26" i="10"/>
  <c r="K26" i="10"/>
  <c r="F32" i="7"/>
  <c r="O32" i="7"/>
  <c r="C70" i="10"/>
  <c r="J70" i="10"/>
  <c r="B32" i="7"/>
  <c r="K32" i="7"/>
  <c r="C10" i="10"/>
  <c r="E31" i="7"/>
  <c r="N31" i="7"/>
  <c r="C54" i="10"/>
  <c r="H54" i="10"/>
  <c r="T54" i="10"/>
  <c r="H30" i="7"/>
  <c r="D30" i="7"/>
  <c r="M30" i="7"/>
  <c r="C38" i="10"/>
  <c r="G29" i="7"/>
  <c r="P29" i="7"/>
  <c r="C82" i="10"/>
  <c r="C29" i="7"/>
  <c r="L29" i="7"/>
  <c r="C22" i="10"/>
  <c r="I22" i="10"/>
  <c r="F28" i="7"/>
  <c r="O28" i="7"/>
  <c r="C66" i="10"/>
  <c r="H66" i="10"/>
  <c r="T66" i="10"/>
  <c r="B28" i="7"/>
  <c r="K28" i="7"/>
  <c r="C6" i="10"/>
  <c r="I6" i="10"/>
  <c r="E27" i="7"/>
  <c r="N27" i="7"/>
  <c r="C50" i="10"/>
  <c r="H26" i="7"/>
  <c r="D26" i="7"/>
  <c r="M26" i="7"/>
  <c r="C34" i="10"/>
  <c r="G25" i="7"/>
  <c r="C25" i="7"/>
  <c r="F24" i="7"/>
  <c r="B24" i="7"/>
  <c r="E23" i="7"/>
  <c r="H22" i="7"/>
  <c r="D22" i="7"/>
  <c r="G21" i="7"/>
  <c r="C21" i="7"/>
  <c r="G39" i="7"/>
  <c r="F38" i="7"/>
  <c r="E37" i="7"/>
  <c r="N37" i="7"/>
  <c r="C60" i="10"/>
  <c r="D36" i="7"/>
  <c r="C35" i="7"/>
  <c r="L35" i="7"/>
  <c r="C28" i="10"/>
  <c r="J28" i="10"/>
  <c r="B34" i="7"/>
  <c r="H32" i="7"/>
  <c r="G31" i="7"/>
  <c r="P31" i="7"/>
  <c r="C84" i="10"/>
  <c r="J84" i="10"/>
  <c r="F30" i="7"/>
  <c r="O30" i="7"/>
  <c r="C68" i="10"/>
  <c r="E29" i="7"/>
  <c r="N29" i="7"/>
  <c r="C52" i="10"/>
  <c r="D28" i="7"/>
  <c r="M28" i="7"/>
  <c r="C36" i="10"/>
  <c r="J36" i="10"/>
  <c r="C27" i="7"/>
  <c r="L27" i="7"/>
  <c r="C20" i="10"/>
  <c r="J20" i="10"/>
  <c r="B26" i="7"/>
  <c r="K26" i="7"/>
  <c r="C4" i="10"/>
  <c r="H24" i="7"/>
  <c r="G23" i="7"/>
  <c r="F22" i="7"/>
  <c r="E21" i="7"/>
  <c r="B39" i="7"/>
  <c r="H37" i="7"/>
  <c r="G36" i="7"/>
  <c r="F35" i="7"/>
  <c r="O35" i="7"/>
  <c r="C73" i="10"/>
  <c r="E34" i="7"/>
  <c r="D33" i="7"/>
  <c r="M33" i="7"/>
  <c r="C41" i="10"/>
  <c r="C32" i="7"/>
  <c r="L32" i="7"/>
  <c r="C25" i="10"/>
  <c r="H25" i="10"/>
  <c r="T25" i="10"/>
  <c r="B31" i="7"/>
  <c r="K31" i="7"/>
  <c r="C9" i="10"/>
  <c r="H29" i="7"/>
  <c r="G28" i="7"/>
  <c r="P28" i="7"/>
  <c r="C81" i="10"/>
  <c r="K81" i="10"/>
  <c r="F27" i="7"/>
  <c r="O27" i="7"/>
  <c r="C65" i="10"/>
  <c r="I65" i="10"/>
  <c r="E26" i="7"/>
  <c r="N26" i="7"/>
  <c r="C49" i="10"/>
  <c r="D25" i="7"/>
  <c r="C24" i="7"/>
  <c r="B23" i="7"/>
  <c r="H21" i="7"/>
  <c r="H39" i="7"/>
  <c r="D39" i="7"/>
  <c r="G38" i="7"/>
  <c r="C38" i="7"/>
  <c r="F37" i="7"/>
  <c r="O37" i="7"/>
  <c r="C75" i="10"/>
  <c r="I75" i="10"/>
  <c r="B37" i="7"/>
  <c r="K37" i="7"/>
  <c r="C15" i="10"/>
  <c r="E36" i="7"/>
  <c r="H35" i="7"/>
  <c r="D35" i="7"/>
  <c r="M35" i="7"/>
  <c r="C43" i="10"/>
  <c r="G34" i="7"/>
  <c r="C34" i="7"/>
  <c r="F33" i="7"/>
  <c r="O33" i="7"/>
  <c r="C71" i="10"/>
  <c r="B33" i="7"/>
  <c r="K33" i="7"/>
  <c r="C11" i="10"/>
  <c r="E32" i="7"/>
  <c r="N32" i="7"/>
  <c r="C55" i="10"/>
  <c r="K55" i="10"/>
  <c r="H31" i="7"/>
  <c r="D31" i="7"/>
  <c r="M31" i="7"/>
  <c r="C39" i="10"/>
  <c r="G30" i="7"/>
  <c r="P30" i="7"/>
  <c r="C83" i="10"/>
  <c r="I83" i="10"/>
  <c r="C30" i="7"/>
  <c r="L30" i="7"/>
  <c r="C23" i="10"/>
  <c r="I23" i="10"/>
  <c r="F29" i="7"/>
  <c r="O29" i="7"/>
  <c r="C67" i="10"/>
  <c r="K67" i="10"/>
  <c r="B29" i="7"/>
  <c r="K29" i="7"/>
  <c r="C7" i="10"/>
  <c r="E28" i="7"/>
  <c r="N28" i="7"/>
  <c r="C51" i="10"/>
  <c r="H51" i="10"/>
  <c r="T51" i="10"/>
  <c r="H27" i="7"/>
  <c r="D27" i="7"/>
  <c r="M27" i="7"/>
  <c r="C35" i="10"/>
  <c r="G26" i="7"/>
  <c r="P26" i="7"/>
  <c r="C79" i="10"/>
  <c r="C26" i="7"/>
  <c r="L26" i="7"/>
  <c r="C19" i="10"/>
  <c r="F25" i="7"/>
  <c r="B25" i="7"/>
  <c r="E24" i="7"/>
  <c r="H23" i="7"/>
  <c r="D23" i="7"/>
  <c r="G22" i="7"/>
  <c r="C22" i="7"/>
  <c r="F21" i="7"/>
  <c r="G20" i="7"/>
  <c r="C20" i="7"/>
  <c r="F19" i="7"/>
  <c r="B19" i="7"/>
  <c r="E18" i="7"/>
  <c r="H17" i="7"/>
  <c r="D17" i="7"/>
  <c r="G16" i="7"/>
  <c r="C16" i="7"/>
  <c r="F15" i="7"/>
  <c r="B15" i="7"/>
  <c r="E14" i="7"/>
  <c r="H13" i="7"/>
  <c r="D13" i="7"/>
  <c r="G12" i="7"/>
  <c r="C12" i="7"/>
  <c r="F11" i="7"/>
  <c r="B11" i="7"/>
  <c r="E10" i="7"/>
  <c r="H9" i="7"/>
  <c r="D9" i="7"/>
  <c r="G8" i="7"/>
  <c r="C8" i="7"/>
  <c r="F7" i="7"/>
  <c r="B7" i="7"/>
  <c r="E6" i="7"/>
  <c r="H5" i="7"/>
  <c r="D5" i="7"/>
  <c r="G4" i="7"/>
  <c r="C4" i="7"/>
  <c r="F3" i="7"/>
  <c r="B3" i="7"/>
  <c r="E2" i="7"/>
  <c r="F20" i="7"/>
  <c r="B20" i="7"/>
  <c r="E19" i="7"/>
  <c r="H18" i="7"/>
  <c r="D18" i="7"/>
  <c r="G17" i="7"/>
  <c r="C17" i="7"/>
  <c r="F16" i="7"/>
  <c r="B16" i="7"/>
  <c r="E15" i="7"/>
  <c r="H14" i="7"/>
  <c r="D14" i="7"/>
  <c r="G13" i="7"/>
  <c r="C13" i="7"/>
  <c r="F12" i="7"/>
  <c r="B12" i="7"/>
  <c r="E11" i="7"/>
  <c r="H10" i="7"/>
  <c r="D10" i="7"/>
  <c r="G9" i="7"/>
  <c r="C9" i="7"/>
  <c r="F8" i="7"/>
  <c r="B8" i="7"/>
  <c r="E7" i="7"/>
  <c r="H6" i="7"/>
  <c r="D6" i="7"/>
  <c r="G5" i="7"/>
  <c r="C5" i="7"/>
  <c r="F4" i="7"/>
  <c r="B4" i="7"/>
  <c r="E3" i="7"/>
  <c r="H2" i="7"/>
  <c r="D2" i="7"/>
  <c r="E20" i="7"/>
  <c r="D19" i="7"/>
  <c r="F17" i="7"/>
  <c r="H15" i="7"/>
  <c r="C14" i="7"/>
  <c r="E12" i="7"/>
  <c r="G10" i="7"/>
  <c r="F9" i="7"/>
  <c r="H7" i="7"/>
  <c r="G6" i="7"/>
  <c r="F5" i="7"/>
  <c r="B5" i="7"/>
  <c r="E4" i="7"/>
  <c r="H3" i="7"/>
  <c r="D3" i="7"/>
  <c r="G2" i="7"/>
  <c r="C2" i="7"/>
  <c r="H19" i="7"/>
  <c r="G18" i="7"/>
  <c r="C18" i="7"/>
  <c r="B17" i="7"/>
  <c r="E16" i="7"/>
  <c r="D15" i="7"/>
  <c r="G14" i="7"/>
  <c r="F13" i="7"/>
  <c r="B13" i="7"/>
  <c r="H11" i="7"/>
  <c r="D11" i="7"/>
  <c r="C10" i="7"/>
  <c r="B9" i="7"/>
  <c r="E8" i="7"/>
  <c r="D7" i="7"/>
  <c r="C6" i="7"/>
  <c r="H20" i="7"/>
  <c r="D20" i="7"/>
  <c r="G19" i="7"/>
  <c r="C19" i="7"/>
  <c r="F18" i="7"/>
  <c r="B18" i="7"/>
  <c r="E17" i="7"/>
  <c r="H16" i="7"/>
  <c r="D16" i="7"/>
  <c r="G15" i="7"/>
  <c r="C15" i="7"/>
  <c r="F14" i="7"/>
  <c r="B14" i="7"/>
  <c r="E13" i="7"/>
  <c r="H12" i="7"/>
  <c r="D12" i="7"/>
  <c r="G11" i="7"/>
  <c r="C11" i="7"/>
  <c r="F10" i="7"/>
  <c r="B10" i="7"/>
  <c r="E9" i="7"/>
  <c r="H8" i="7"/>
  <c r="D8" i="7"/>
  <c r="G7" i="7"/>
  <c r="C7" i="7"/>
  <c r="F6" i="7"/>
  <c r="B6" i="7"/>
  <c r="E5" i="7"/>
  <c r="H4" i="7"/>
  <c r="D4" i="7"/>
  <c r="G3" i="7"/>
  <c r="C3" i="7"/>
  <c r="F2" i="7"/>
  <c r="I16" i="1"/>
  <c r="I20" i="1"/>
  <c r="O10" i="10"/>
  <c r="M10" i="10"/>
  <c r="U10" i="10"/>
  <c r="Q68" i="10"/>
  <c r="O13" i="10"/>
  <c r="P43" i="10"/>
  <c r="N75" i="10"/>
  <c r="V75" i="10"/>
  <c r="M50" i="10"/>
  <c r="U50" i="10"/>
  <c r="J83" i="10"/>
  <c r="Q52" i="10"/>
  <c r="M68" i="10"/>
  <c r="U68" i="10"/>
  <c r="AF66" i="10"/>
  <c r="J5" i="10"/>
  <c r="L51" i="10"/>
  <c r="J88" i="10"/>
  <c r="W88" i="10"/>
  <c r="Q82" i="10"/>
  <c r="P60" i="10"/>
  <c r="P4" i="10"/>
  <c r="N60" i="10"/>
  <c r="AF58" i="10"/>
  <c r="K38" i="10"/>
  <c r="I38" i="10"/>
  <c r="L38" i="10"/>
  <c r="K41" i="10"/>
  <c r="L41" i="10"/>
  <c r="I60" i="10"/>
  <c r="J60" i="10"/>
  <c r="W60" i="10"/>
  <c r="K60" i="10"/>
  <c r="X60" i="10"/>
  <c r="L8" i="10"/>
  <c r="H8" i="10"/>
  <c r="T8" i="10"/>
  <c r="P9" i="10"/>
  <c r="N9" i="10"/>
  <c r="H35" i="10"/>
  <c r="T35" i="10"/>
  <c r="J35" i="10"/>
  <c r="K35" i="10"/>
  <c r="L35" i="10"/>
  <c r="Y35" i="10"/>
  <c r="M84" i="10"/>
  <c r="U84" i="10"/>
  <c r="P84" i="10"/>
  <c r="H15" i="10"/>
  <c r="T15" i="10"/>
  <c r="I15" i="10"/>
  <c r="J34" i="10"/>
  <c r="L34" i="10"/>
  <c r="J52" i="10"/>
  <c r="K52" i="10"/>
  <c r="M5" i="10"/>
  <c r="U5" i="10"/>
  <c r="AF5" i="10"/>
  <c r="P5" i="10"/>
  <c r="Q64" i="10"/>
  <c r="Y64" i="10"/>
  <c r="N64" i="10"/>
  <c r="O64" i="10"/>
  <c r="M64" i="10"/>
  <c r="U64" i="10"/>
  <c r="P64" i="10"/>
  <c r="I19" i="1"/>
  <c r="O39" i="10"/>
  <c r="N39" i="10"/>
  <c r="M39" i="10"/>
  <c r="U39" i="10"/>
  <c r="N38" i="10"/>
  <c r="M38" i="10"/>
  <c r="M45" i="10"/>
  <c r="U45" i="10"/>
  <c r="N45" i="10"/>
  <c r="M41" i="10"/>
  <c r="U41" i="10"/>
  <c r="N41" i="10"/>
  <c r="K30" i="10"/>
  <c r="M60" i="10"/>
  <c r="U60" i="10"/>
  <c r="I58" i="10"/>
  <c r="M67" i="10"/>
  <c r="U67" i="10"/>
  <c r="N35" i="10"/>
  <c r="M35" i="10"/>
  <c r="U35" i="10"/>
  <c r="N34" i="10"/>
  <c r="M34" i="10"/>
  <c r="U34" i="10"/>
  <c r="P54" i="10"/>
  <c r="O50" i="10"/>
  <c r="O75" i="10"/>
  <c r="O22" i="10"/>
  <c r="Q60" i="10"/>
  <c r="L26" i="10"/>
  <c r="X90" i="10"/>
  <c r="Q36" i="10"/>
  <c r="M36" i="10"/>
  <c r="N36" i="10"/>
  <c r="N43" i="10"/>
  <c r="M43" i="10"/>
  <c r="U43" i="10"/>
  <c r="M37" i="10"/>
  <c r="U37" i="10"/>
  <c r="AF37" i="10"/>
  <c r="N37" i="10"/>
  <c r="O86" i="10"/>
  <c r="J37" i="10"/>
  <c r="O36" i="10"/>
  <c r="W36" i="10"/>
  <c r="N4" i="10"/>
  <c r="J51" i="10"/>
  <c r="H20" i="10"/>
  <c r="T20" i="10"/>
  <c r="J43" i="10"/>
  <c r="M40" i="10"/>
  <c r="U40" i="10"/>
  <c r="N40" i="10"/>
  <c r="I24" i="1"/>
  <c r="I7" i="10"/>
  <c r="J7" i="10"/>
  <c r="H7" i="10"/>
  <c r="T7" i="10"/>
  <c r="L7" i="10"/>
  <c r="K7" i="10"/>
  <c r="K49" i="10"/>
  <c r="L49" i="10"/>
  <c r="J49" i="10"/>
  <c r="I49" i="10"/>
  <c r="H49" i="10"/>
  <c r="T49" i="10"/>
  <c r="I19" i="10"/>
  <c r="K19" i="10"/>
  <c r="L19" i="10"/>
  <c r="H19" i="10"/>
  <c r="T19" i="10"/>
  <c r="J19" i="10"/>
  <c r="K69" i="10"/>
  <c r="X69" i="10"/>
  <c r="J69" i="10"/>
  <c r="L69" i="10"/>
  <c r="I69" i="10"/>
  <c r="H69" i="10"/>
  <c r="T69" i="10"/>
  <c r="Q51" i="10"/>
  <c r="Y51" i="10"/>
  <c r="N51" i="10"/>
  <c r="O51" i="10"/>
  <c r="P51" i="10"/>
  <c r="M51" i="10"/>
  <c r="U51" i="10"/>
  <c r="AF51" i="10"/>
  <c r="O83" i="10"/>
  <c r="Q83" i="10"/>
  <c r="P83" i="10"/>
  <c r="N83" i="10"/>
  <c r="V83" i="10"/>
  <c r="M83" i="10"/>
  <c r="U83" i="10"/>
  <c r="J79" i="10"/>
  <c r="H79" i="10"/>
  <c r="T79" i="10"/>
  <c r="K79" i="10"/>
  <c r="L79" i="10"/>
  <c r="I79" i="10"/>
  <c r="K39" i="10"/>
  <c r="J4" i="10"/>
  <c r="H4" i="10"/>
  <c r="T4" i="10"/>
  <c r="AF4" i="10"/>
  <c r="L4" i="10"/>
  <c r="J68" i="10"/>
  <c r="W68" i="10"/>
  <c r="I68" i="10"/>
  <c r="H68" i="10"/>
  <c r="T68" i="10"/>
  <c r="H50" i="10"/>
  <c r="T50" i="10"/>
  <c r="K50" i="10"/>
  <c r="I50" i="10"/>
  <c r="L50" i="10"/>
  <c r="Y50" i="10"/>
  <c r="J50" i="10"/>
  <c r="I10" i="10"/>
  <c r="H10" i="10"/>
  <c r="T10" i="10"/>
  <c r="AF10" i="10"/>
  <c r="J10" i="10"/>
  <c r="W10" i="10"/>
  <c r="L10" i="10"/>
  <c r="K10" i="10"/>
  <c r="M34" i="7"/>
  <c r="C42" i="10"/>
  <c r="E18" i="1"/>
  <c r="G19" i="1"/>
  <c r="O36" i="7"/>
  <c r="C74" i="10"/>
  <c r="K45" i="10"/>
  <c r="L45" i="10"/>
  <c r="H45" i="10"/>
  <c r="T45" i="10"/>
  <c r="I45" i="10"/>
  <c r="J45" i="10"/>
  <c r="K40" i="10"/>
  <c r="I40" i="10"/>
  <c r="L40" i="10"/>
  <c r="J40" i="10"/>
  <c r="H40" i="10"/>
  <c r="T40" i="10"/>
  <c r="I71" i="10"/>
  <c r="K71" i="10"/>
  <c r="L38" i="7"/>
  <c r="C31" i="10"/>
  <c r="H31" i="10"/>
  <c r="T31" i="10"/>
  <c r="D20" i="1"/>
  <c r="K73" i="10"/>
  <c r="I73" i="10"/>
  <c r="F16" i="1"/>
  <c r="N24" i="7"/>
  <c r="C47" i="10"/>
  <c r="D17" i="1"/>
  <c r="L25" i="7"/>
  <c r="C18" i="10"/>
  <c r="L82" i="10"/>
  <c r="Y82" i="10"/>
  <c r="I82" i="10"/>
  <c r="J82" i="10"/>
  <c r="W82" i="10"/>
  <c r="H82" i="10"/>
  <c r="T82" i="10"/>
  <c r="K82" i="10"/>
  <c r="I21" i="10"/>
  <c r="J21" i="10"/>
  <c r="K21" i="10"/>
  <c r="H21" i="10"/>
  <c r="T21" i="10"/>
  <c r="L21" i="10"/>
  <c r="I85" i="10"/>
  <c r="J85" i="10"/>
  <c r="K85" i="10"/>
  <c r="H85" i="10"/>
  <c r="T85" i="10"/>
  <c r="L85" i="10"/>
  <c r="J80" i="10"/>
  <c r="L80" i="10"/>
  <c r="K80" i="10"/>
  <c r="H80" i="10"/>
  <c r="T80" i="10"/>
  <c r="I80" i="10"/>
  <c r="Q79" i="10"/>
  <c r="N79" i="10"/>
  <c r="P79" i="10"/>
  <c r="M79" i="10"/>
  <c r="U79" i="10"/>
  <c r="O79" i="10"/>
  <c r="N70" i="10"/>
  <c r="Q70" i="10"/>
  <c r="M70" i="10"/>
  <c r="U70" i="10"/>
  <c r="V6" i="10"/>
  <c r="L30" i="10"/>
  <c r="H30" i="10"/>
  <c r="T30" i="10"/>
  <c r="I67" i="10"/>
  <c r="V67" i="10"/>
  <c r="H67" i="10"/>
  <c r="T67" i="10"/>
  <c r="AF67" i="10"/>
  <c r="J65" i="10"/>
  <c r="L65" i="10"/>
  <c r="H65" i="10"/>
  <c r="T65" i="10"/>
  <c r="H6" i="10"/>
  <c r="T6" i="10"/>
  <c r="J6" i="10"/>
  <c r="H70" i="10"/>
  <c r="T70" i="10"/>
  <c r="I70" i="10"/>
  <c r="J56" i="10"/>
  <c r="I56" i="10"/>
  <c r="V56" i="10"/>
  <c r="Q34" i="10"/>
  <c r="P34" i="10"/>
  <c r="N66" i="10"/>
  <c r="Q66" i="10"/>
  <c r="O66" i="10"/>
  <c r="N53" i="10"/>
  <c r="O53" i="10"/>
  <c r="P53" i="10"/>
  <c r="P22" i="10"/>
  <c r="O54" i="10"/>
  <c r="Q53" i="10"/>
  <c r="Y53" i="10"/>
  <c r="J30" i="10"/>
  <c r="J67" i="10"/>
  <c r="P66" i="10"/>
  <c r="L20" i="10"/>
  <c r="Y20" i="10"/>
  <c r="L52" i="10"/>
  <c r="L84" i="10"/>
  <c r="L22" i="10"/>
  <c r="H43" i="10"/>
  <c r="T43" i="10"/>
  <c r="I54" i="10"/>
  <c r="L70" i="10"/>
  <c r="Y70" i="10"/>
  <c r="P80" i="10"/>
  <c r="Q80" i="10"/>
  <c r="O35" i="10"/>
  <c r="N84" i="10"/>
  <c r="Q84" i="10"/>
  <c r="O84" i="10"/>
  <c r="W84" i="10"/>
  <c r="O53" i="7"/>
  <c r="D72" i="10"/>
  <c r="M72" i="10"/>
  <c r="U72" i="10"/>
  <c r="G23" i="1"/>
  <c r="C23" i="1"/>
  <c r="K53" i="7"/>
  <c r="D12" i="10"/>
  <c r="O57" i="7"/>
  <c r="D76" i="10"/>
  <c r="G25" i="1"/>
  <c r="J26" i="10"/>
  <c r="H26" i="10"/>
  <c r="T26" i="10"/>
  <c r="I26" i="10"/>
  <c r="V26" i="10"/>
  <c r="Q38" i="10"/>
  <c r="O38" i="10"/>
  <c r="P38" i="10"/>
  <c r="X38" i="10"/>
  <c r="I23" i="1"/>
  <c r="E22" i="1"/>
  <c r="M44" i="7"/>
  <c r="D33" i="10"/>
  <c r="O33" i="10"/>
  <c r="V30" i="10"/>
  <c r="O67" i="10"/>
  <c r="Q67" i="10"/>
  <c r="J15" i="10"/>
  <c r="K15" i="10"/>
  <c r="I90" i="10"/>
  <c r="H90" i="10"/>
  <c r="T90" i="10"/>
  <c r="M55" i="10"/>
  <c r="U55" i="10"/>
  <c r="N55" i="10"/>
  <c r="Q55" i="10"/>
  <c r="L67" i="10"/>
  <c r="Y67" i="10"/>
  <c r="L15" i="10"/>
  <c r="Y34" i="10"/>
  <c r="N86" i="10"/>
  <c r="V86" i="10"/>
  <c r="K56" i="10"/>
  <c r="O34" i="10"/>
  <c r="W34" i="10"/>
  <c r="M54" i="10"/>
  <c r="U54" i="10"/>
  <c r="AF54" i="10"/>
  <c r="P70" i="10"/>
  <c r="Q86" i="10"/>
  <c r="P55" i="10"/>
  <c r="X55" i="10"/>
  <c r="K6" i="10"/>
  <c r="J90" i="10"/>
  <c r="K70" i="10"/>
  <c r="P85" i="10"/>
  <c r="N85" i="10"/>
  <c r="O5" i="10"/>
  <c r="W5" i="10"/>
  <c r="N5" i="10"/>
  <c r="Q5" i="10"/>
  <c r="I37" i="10"/>
  <c r="L37" i="10"/>
  <c r="Y37" i="10"/>
  <c r="K37" i="10"/>
  <c r="N53" i="7"/>
  <c r="D57" i="10"/>
  <c r="Q57" i="10"/>
  <c r="F23" i="1"/>
  <c r="K43" i="7"/>
  <c r="D2" i="10"/>
  <c r="O2" i="10"/>
  <c r="O28" i="10"/>
  <c r="W28" i="10"/>
  <c r="P28" i="10"/>
  <c r="Q28" i="10"/>
  <c r="D25" i="1"/>
  <c r="L57" i="7"/>
  <c r="D31" i="10"/>
  <c r="D21" i="1"/>
  <c r="L43" i="7"/>
  <c r="D17" i="10"/>
  <c r="O17" i="10"/>
  <c r="P44" i="7"/>
  <c r="D78" i="10"/>
  <c r="M78" i="10"/>
  <c r="U78" i="10"/>
  <c r="H22" i="1"/>
  <c r="M6" i="10"/>
  <c r="U6" i="10"/>
  <c r="Q6" i="10"/>
  <c r="I53" i="10"/>
  <c r="J53" i="10"/>
  <c r="K53" i="10"/>
  <c r="Q13" i="10"/>
  <c r="N13" i="10"/>
  <c r="I81" i="10"/>
  <c r="H81" i="10"/>
  <c r="T81" i="10"/>
  <c r="J81" i="10"/>
  <c r="L66" i="10"/>
  <c r="I66" i="10"/>
  <c r="J66" i="10"/>
  <c r="W66" i="10"/>
  <c r="Q22" i="10"/>
  <c r="N22" i="10"/>
  <c r="V22" i="10"/>
  <c r="O24" i="7"/>
  <c r="C62" i="10"/>
  <c r="I62" i="10"/>
  <c r="G16" i="1"/>
  <c r="K51" i="10"/>
  <c r="I51" i="10"/>
  <c r="K83" i="10"/>
  <c r="H83" i="10"/>
  <c r="T83" i="10"/>
  <c r="L83" i="10"/>
  <c r="L43" i="10"/>
  <c r="Y43" i="10"/>
  <c r="I43" i="10"/>
  <c r="V43" i="10"/>
  <c r="J75" i="10"/>
  <c r="H75" i="10"/>
  <c r="T75" i="10"/>
  <c r="AF75" i="10"/>
  <c r="K75" i="10"/>
  <c r="E17" i="1"/>
  <c r="M25" i="7"/>
  <c r="C33" i="10"/>
  <c r="N34" i="7"/>
  <c r="C57" i="10"/>
  <c r="I57" i="10"/>
  <c r="F18" i="1"/>
  <c r="K34" i="7"/>
  <c r="C12" i="10"/>
  <c r="C18" i="1"/>
  <c r="G20" i="1"/>
  <c r="O38" i="7"/>
  <c r="C76" i="10"/>
  <c r="L76" i="10"/>
  <c r="H22" i="10"/>
  <c r="T22" i="10"/>
  <c r="AF22" i="10"/>
  <c r="J22" i="10"/>
  <c r="W22" i="10"/>
  <c r="K22" i="10"/>
  <c r="X22" i="10"/>
  <c r="K54" i="10"/>
  <c r="L54" i="10"/>
  <c r="Y54" i="10"/>
  <c r="J86" i="10"/>
  <c r="L86" i="10"/>
  <c r="H86" i="10"/>
  <c r="T86" i="10"/>
  <c r="C19" i="1"/>
  <c r="K36" i="7"/>
  <c r="C14" i="10"/>
  <c r="E20" i="1"/>
  <c r="M38" i="7"/>
  <c r="C46" i="10"/>
  <c r="K5" i="10"/>
  <c r="I5" i="10"/>
  <c r="L5" i="10"/>
  <c r="D19" i="1"/>
  <c r="L36" i="7"/>
  <c r="C29" i="10"/>
  <c r="C16" i="1"/>
  <c r="K24" i="7"/>
  <c r="C2" i="10"/>
  <c r="I64" i="10"/>
  <c r="H64" i="10"/>
  <c r="T64" i="10"/>
  <c r="J64" i="10"/>
  <c r="W64" i="10"/>
  <c r="H24" i="10"/>
  <c r="T24" i="10"/>
  <c r="AF24" i="10"/>
  <c r="J24" i="10"/>
  <c r="I24" i="10"/>
  <c r="K88" i="10"/>
  <c r="I88" i="10"/>
  <c r="O43" i="7"/>
  <c r="D62" i="10"/>
  <c r="M62" i="10"/>
  <c r="U62" i="10"/>
  <c r="G21" i="1"/>
  <c r="O43" i="10"/>
  <c r="W43" i="10"/>
  <c r="Q75" i="10"/>
  <c r="P75" i="10"/>
  <c r="L44" i="7"/>
  <c r="D18" i="10"/>
  <c r="D22" i="1"/>
  <c r="P50" i="10"/>
  <c r="N50" i="10"/>
  <c r="P82" i="10"/>
  <c r="N82" i="10"/>
  <c r="M82" i="10"/>
  <c r="U82" i="10"/>
  <c r="E23" i="1"/>
  <c r="M53" i="7"/>
  <c r="D42" i="10"/>
  <c r="G24" i="1"/>
  <c r="O55" i="7"/>
  <c r="D74" i="10"/>
  <c r="P74" i="10"/>
  <c r="I25" i="1"/>
  <c r="O37" i="10"/>
  <c r="P37" i="10"/>
  <c r="P6" i="10"/>
  <c r="H56" i="10"/>
  <c r="T56" i="10"/>
  <c r="K66" i="10"/>
  <c r="H53" i="10"/>
  <c r="T53" i="10"/>
  <c r="AF53" i="10"/>
  <c r="K65" i="10"/>
  <c r="L81" i="10"/>
  <c r="O6" i="10"/>
  <c r="O69" i="10"/>
  <c r="L24" i="10"/>
  <c r="L56" i="10"/>
  <c r="H88" i="10"/>
  <c r="T88" i="10"/>
  <c r="N54" i="10"/>
  <c r="O70" i="10"/>
  <c r="W70" i="10"/>
  <c r="M86" i="10"/>
  <c r="U86" i="10"/>
  <c r="Q39" i="10"/>
  <c r="O55" i="10"/>
  <c r="M28" i="10"/>
  <c r="U28" i="10"/>
  <c r="H36" i="10"/>
  <c r="T36" i="10"/>
  <c r="K64" i="10"/>
  <c r="L6" i="10"/>
  <c r="L90" i="10"/>
  <c r="P35" i="10"/>
  <c r="K43" i="10"/>
  <c r="L75" i="10"/>
  <c r="J54" i="10"/>
  <c r="K86" i="10"/>
  <c r="X86" i="10"/>
  <c r="P13" i="10"/>
  <c r="P67" i="10"/>
  <c r="X67" i="10"/>
  <c r="O58" i="10"/>
  <c r="N58" i="10"/>
  <c r="M90" i="10"/>
  <c r="U90" i="10"/>
  <c r="N90" i="10"/>
  <c r="N68" i="10"/>
  <c r="P68" i="10"/>
  <c r="P52" i="10"/>
  <c r="M52" i="10"/>
  <c r="U52" i="10"/>
  <c r="O52" i="10"/>
  <c r="N57" i="7"/>
  <c r="D61" i="10"/>
  <c r="F25" i="1"/>
  <c r="J58" i="10"/>
  <c r="L58" i="10"/>
  <c r="K58" i="10"/>
  <c r="N43" i="7"/>
  <c r="D47" i="10"/>
  <c r="F21" i="1"/>
  <c r="L24" i="7"/>
  <c r="C17" i="10"/>
  <c r="D16" i="1"/>
  <c r="H17" i="1"/>
  <c r="P25" i="7"/>
  <c r="C78" i="10"/>
  <c r="F24" i="1"/>
  <c r="N55" i="7"/>
  <c r="D59" i="10"/>
  <c r="H21" i="1"/>
  <c r="P43" i="7"/>
  <c r="D77" i="10"/>
  <c r="P77" i="10"/>
  <c r="E21" i="1"/>
  <c r="M43" i="7"/>
  <c r="D32" i="10"/>
  <c r="Q32" i="10"/>
  <c r="K34" i="10"/>
  <c r="H60" i="10"/>
  <c r="T60" i="10"/>
  <c r="I35" i="10"/>
  <c r="O40" i="10"/>
  <c r="J38" i="10"/>
  <c r="U38" i="10"/>
  <c r="H24" i="1"/>
  <c r="P55" i="7"/>
  <c r="D89" i="10"/>
  <c r="M55" i="7"/>
  <c r="D44" i="10"/>
  <c r="E24" i="1"/>
  <c r="D24" i="1"/>
  <c r="L55" i="7"/>
  <c r="D29" i="10"/>
  <c r="C17" i="1"/>
  <c r="K25" i="7"/>
  <c r="C3" i="10"/>
  <c r="D18" i="1"/>
  <c r="L34" i="7"/>
  <c r="C27" i="10"/>
  <c r="F19" i="1"/>
  <c r="N36" i="7"/>
  <c r="C59" i="10"/>
  <c r="P38" i="7"/>
  <c r="C91" i="10"/>
  <c r="H20" i="1"/>
  <c r="P36" i="7"/>
  <c r="C89" i="10"/>
  <c r="H89" i="10"/>
  <c r="T89" i="10"/>
  <c r="H19" i="1"/>
  <c r="M36" i="7"/>
  <c r="C44" i="10"/>
  <c r="J44" i="10"/>
  <c r="E19" i="1"/>
  <c r="I18" i="1"/>
  <c r="F20" i="1"/>
  <c r="N38" i="7"/>
  <c r="C61" i="10"/>
  <c r="C20" i="1"/>
  <c r="K38" i="7"/>
  <c r="C16" i="10"/>
  <c r="L16" i="10"/>
  <c r="C22" i="1"/>
  <c r="K44" i="7"/>
  <c r="D3" i="10"/>
  <c r="O3" i="10"/>
  <c r="D23" i="1"/>
  <c r="L53" i="7"/>
  <c r="D27" i="10"/>
  <c r="H25" i="1"/>
  <c r="P57" i="7"/>
  <c r="D91" i="10"/>
  <c r="I22" i="1"/>
  <c r="H34" i="10"/>
  <c r="T34" i="10"/>
  <c r="AF34" i="10"/>
  <c r="O25" i="7"/>
  <c r="C63" i="10"/>
  <c r="K63" i="10"/>
  <c r="G17" i="1"/>
  <c r="H18" i="1"/>
  <c r="P34" i="7"/>
  <c r="C87" i="10"/>
  <c r="I87" i="10"/>
  <c r="P24" i="7"/>
  <c r="C77" i="10"/>
  <c r="H16" i="1"/>
  <c r="E16" i="1"/>
  <c r="M24" i="7"/>
  <c r="C32" i="10"/>
  <c r="I17" i="1"/>
  <c r="N25" i="7"/>
  <c r="C48" i="10"/>
  <c r="F17" i="1"/>
  <c r="G18" i="1"/>
  <c r="O34" i="7"/>
  <c r="C72" i="10"/>
  <c r="G22" i="1"/>
  <c r="O44" i="7"/>
  <c r="D63" i="10"/>
  <c r="H23" i="1"/>
  <c r="P53" i="7"/>
  <c r="D87" i="10"/>
  <c r="K55" i="7"/>
  <c r="D14" i="10"/>
  <c r="Q14" i="10"/>
  <c r="C24" i="1"/>
  <c r="E25" i="1"/>
  <c r="M57" i="7"/>
  <c r="D46" i="10"/>
  <c r="I21" i="1"/>
  <c r="I34" i="10"/>
  <c r="L60" i="10"/>
  <c r="K25" i="10"/>
  <c r="K23" i="10"/>
  <c r="H38" i="10"/>
  <c r="T38" i="10"/>
  <c r="H55" i="10"/>
  <c r="T55" i="10"/>
  <c r="K57" i="7"/>
  <c r="D16" i="10"/>
  <c r="C25" i="1"/>
  <c r="F22" i="1"/>
  <c r="N44" i="7"/>
  <c r="D48" i="10"/>
  <c r="C21" i="1"/>
  <c r="I8" i="10"/>
  <c r="J73" i="10"/>
  <c r="H28" i="10"/>
  <c r="I41" i="10"/>
  <c r="L73" i="10"/>
  <c r="Q85" i="10"/>
  <c r="P71" i="10"/>
  <c r="N24" i="10"/>
  <c r="P40" i="10"/>
  <c r="M56" i="10"/>
  <c r="U56" i="10"/>
  <c r="Q9" i="10"/>
  <c r="O9" i="10"/>
  <c r="H23" i="10"/>
  <c r="T23" i="10"/>
  <c r="P88" i="10"/>
  <c r="L39" i="10"/>
  <c r="I39" i="10"/>
  <c r="L71" i="10"/>
  <c r="J71" i="10"/>
  <c r="W71" i="10"/>
  <c r="J55" i="10"/>
  <c r="J41" i="10"/>
  <c r="H73" i="10"/>
  <c r="T73" i="10"/>
  <c r="J25" i="10"/>
  <c r="O85" i="10"/>
  <c r="L28" i="10"/>
  <c r="I25" i="10"/>
  <c r="H41" i="10"/>
  <c r="T41" i="10"/>
  <c r="Q30" i="10"/>
  <c r="O20" i="10"/>
  <c r="W20" i="10"/>
  <c r="Q71" i="10"/>
  <c r="Q24" i="10"/>
  <c r="Q56" i="10"/>
  <c r="M9" i="10"/>
  <c r="U9" i="10"/>
  <c r="J23" i="10"/>
  <c r="M88" i="10"/>
  <c r="U88" i="10"/>
  <c r="H39" i="10"/>
  <c r="T39" i="10"/>
  <c r="J39" i="10"/>
  <c r="W39" i="10"/>
  <c r="H71" i="10"/>
  <c r="T71" i="10"/>
  <c r="L55" i="10"/>
  <c r="I55" i="10"/>
  <c r="K28" i="10"/>
  <c r="J8" i="10"/>
  <c r="L25" i="10"/>
  <c r="P30" i="10"/>
  <c r="X30" i="10"/>
  <c r="P20" i="10"/>
  <c r="N71" i="10"/>
  <c r="P24" i="10"/>
  <c r="X24" i="10"/>
  <c r="P56" i="10"/>
  <c r="L23" i="10"/>
  <c r="N88" i="10"/>
  <c r="O90" i="10"/>
  <c r="H52" i="10"/>
  <c r="T52" i="10"/>
  <c r="H84" i="10"/>
  <c r="Q26" i="10"/>
  <c r="Q69" i="10"/>
  <c r="O80" i="10"/>
  <c r="P26" i="10"/>
  <c r="X26" i="10"/>
  <c r="P58" i="10"/>
  <c r="Q4" i="10"/>
  <c r="I20" i="10"/>
  <c r="L36" i="10"/>
  <c r="L68" i="10"/>
  <c r="Y68" i="10"/>
  <c r="O30" i="10"/>
  <c r="O4" i="10"/>
  <c r="M80" i="10"/>
  <c r="U80" i="10"/>
  <c r="M20" i="10"/>
  <c r="U20" i="10"/>
  <c r="K8" i="10"/>
  <c r="I4" i="10"/>
  <c r="N20" i="10"/>
  <c r="M26" i="10"/>
  <c r="U26" i="10"/>
  <c r="N10" i="10"/>
  <c r="Q58" i="10"/>
  <c r="M30" i="10"/>
  <c r="U30" i="10"/>
  <c r="Q10" i="10"/>
  <c r="O32" i="10"/>
  <c r="M69" i="10"/>
  <c r="U69" i="10"/>
  <c r="N80" i="10"/>
  <c r="M85" i="10"/>
  <c r="U85" i="10"/>
  <c r="H62" i="10"/>
  <c r="T62" i="10"/>
  <c r="P10" i="10"/>
  <c r="O26" i="10"/>
  <c r="Q90" i="10"/>
  <c r="P39" i="10"/>
  <c r="M71" i="10"/>
  <c r="U71" i="10"/>
  <c r="K20" i="10"/>
  <c r="O24" i="10"/>
  <c r="K36" i="10"/>
  <c r="X36" i="10"/>
  <c r="I36" i="10"/>
  <c r="Q40" i="10"/>
  <c r="I52" i="10"/>
  <c r="V52" i="10"/>
  <c r="O56" i="10"/>
  <c r="K68" i="10"/>
  <c r="O72" i="10"/>
  <c r="K84" i="10"/>
  <c r="Q88" i="10"/>
  <c r="Y88" i="10"/>
  <c r="K4" i="10"/>
  <c r="X4" i="10"/>
  <c r="N69" i="10"/>
  <c r="I28" i="10"/>
  <c r="V28" i="10"/>
  <c r="I84" i="10"/>
  <c r="P65" i="10"/>
  <c r="M65" i="10"/>
  <c r="Q65" i="10"/>
  <c r="N65" i="10"/>
  <c r="V65" i="10"/>
  <c r="O65" i="10"/>
  <c r="P45" i="10"/>
  <c r="O45" i="10"/>
  <c r="Q45" i="10"/>
  <c r="O21" i="10"/>
  <c r="Q21" i="10"/>
  <c r="M21" i="10"/>
  <c r="U21" i="10"/>
  <c r="N21" i="10"/>
  <c r="P21" i="10"/>
  <c r="M81" i="10"/>
  <c r="U81" i="10"/>
  <c r="Q81" i="10"/>
  <c r="N81" i="10"/>
  <c r="P81" i="10"/>
  <c r="X81" i="10"/>
  <c r="O81" i="10"/>
  <c r="O7" i="10"/>
  <c r="M7" i="10"/>
  <c r="U7" i="10"/>
  <c r="N7" i="10"/>
  <c r="Q7" i="10"/>
  <c r="P7" i="10"/>
  <c r="M23" i="10"/>
  <c r="U23" i="10"/>
  <c r="Q23" i="10"/>
  <c r="O23" i="10"/>
  <c r="P23" i="10"/>
  <c r="N23" i="10"/>
  <c r="V23" i="10"/>
  <c r="M61" i="10"/>
  <c r="U61" i="10"/>
  <c r="Q61" i="10"/>
  <c r="N61" i="10"/>
  <c r="O61" i="10"/>
  <c r="P61" i="10"/>
  <c r="M19" i="10"/>
  <c r="U19" i="10"/>
  <c r="Q19" i="10"/>
  <c r="N19" i="10"/>
  <c r="O19" i="10"/>
  <c r="P19" i="10"/>
  <c r="M89" i="10"/>
  <c r="Q89" i="10"/>
  <c r="N89" i="10"/>
  <c r="P89" i="10"/>
  <c r="O89" i="10"/>
  <c r="M11" i="10"/>
  <c r="U11" i="10"/>
  <c r="Q11" i="10"/>
  <c r="N11" i="10"/>
  <c r="P11" i="10"/>
  <c r="O11" i="10"/>
  <c r="M8" i="10"/>
  <c r="U8" i="10"/>
  <c r="Q8" i="10"/>
  <c r="Y8" i="10"/>
  <c r="N8" i="10"/>
  <c r="O8" i="10"/>
  <c r="P8" i="10"/>
  <c r="P73" i="10"/>
  <c r="M73" i="10"/>
  <c r="Q73" i="10"/>
  <c r="N73" i="10"/>
  <c r="O73" i="10"/>
  <c r="I13" i="10"/>
  <c r="J13" i="10"/>
  <c r="W13" i="10"/>
  <c r="L13" i="10"/>
  <c r="H13" i="10"/>
  <c r="T13" i="10"/>
  <c r="AF13" i="10"/>
  <c r="K13" i="10"/>
  <c r="O49" i="10"/>
  <c r="P49" i="10"/>
  <c r="N49" i="10"/>
  <c r="M49" i="10"/>
  <c r="Q49" i="10"/>
  <c r="I11" i="10"/>
  <c r="J11" i="10"/>
  <c r="H11" i="10"/>
  <c r="T11" i="10"/>
  <c r="K11" i="10"/>
  <c r="X11" i="10"/>
  <c r="L11" i="10"/>
  <c r="M15" i="10"/>
  <c r="Q15" i="10"/>
  <c r="N15" i="10"/>
  <c r="P15" i="10"/>
  <c r="O15" i="10"/>
  <c r="O29" i="10"/>
  <c r="N29" i="10"/>
  <c r="P29" i="10"/>
  <c r="M29" i="10"/>
  <c r="Q29" i="10"/>
  <c r="H16" i="10"/>
  <c r="T16" i="10"/>
  <c r="J16" i="10"/>
  <c r="O25" i="10"/>
  <c r="M25" i="10"/>
  <c r="U25" i="10"/>
  <c r="AF25" i="10"/>
  <c r="N25" i="10"/>
  <c r="Q25" i="10"/>
  <c r="P25" i="10"/>
  <c r="P41" i="10"/>
  <c r="Q41" i="10"/>
  <c r="Y41" i="10"/>
  <c r="O41" i="10"/>
  <c r="K9" i="10"/>
  <c r="I9" i="10"/>
  <c r="J9" i="10"/>
  <c r="H9" i="10"/>
  <c r="T9" i="10"/>
  <c r="L9" i="10"/>
  <c r="F37" i="5"/>
  <c r="F38" i="5"/>
  <c r="AF39" i="10"/>
  <c r="AF60" i="10"/>
  <c r="Y75" i="10"/>
  <c r="N17" i="10"/>
  <c r="N74" i="10"/>
  <c r="W55" i="10"/>
  <c r="X34" i="10"/>
  <c r="X43" i="10"/>
  <c r="X83" i="10"/>
  <c r="J57" i="10"/>
  <c r="Y6" i="10"/>
  <c r="Q17" i="10"/>
  <c r="Y26" i="10"/>
  <c r="X54" i="10"/>
  <c r="Y52" i="10"/>
  <c r="V38" i="10"/>
  <c r="AF6" i="10"/>
  <c r="O57" i="10"/>
  <c r="K16" i="10"/>
  <c r="M57" i="10"/>
  <c r="U57" i="10"/>
  <c r="I89" i="10"/>
  <c r="AF56" i="10"/>
  <c r="V64" i="10"/>
  <c r="AF86" i="10"/>
  <c r="V53" i="10"/>
  <c r="Y38" i="10"/>
  <c r="AF50" i="10"/>
  <c r="V60" i="10"/>
  <c r="AF55" i="10"/>
  <c r="AF11" i="10"/>
  <c r="O77" i="10"/>
  <c r="AF52" i="10"/>
  <c r="AF68" i="10"/>
  <c r="V36" i="10"/>
  <c r="V9" i="10"/>
  <c r="X41" i="10"/>
  <c r="N2" i="10"/>
  <c r="V4" i="10"/>
  <c r="AF71" i="10"/>
  <c r="X52" i="10"/>
  <c r="W75" i="10"/>
  <c r="AF21" i="10"/>
  <c r="Q33" i="10"/>
  <c r="N14" i="10"/>
  <c r="J31" i="10"/>
  <c r="Q78" i="10"/>
  <c r="AF23" i="10"/>
  <c r="V58" i="10"/>
  <c r="W83" i="10"/>
  <c r="AF35" i="10"/>
  <c r="AF9" i="10"/>
  <c r="N3" i="10"/>
  <c r="N95" i="10"/>
  <c r="M2" i="10"/>
  <c r="U2" i="10"/>
  <c r="P62" i="10"/>
  <c r="AF40" i="10"/>
  <c r="AF20" i="10"/>
  <c r="AF8" i="10"/>
  <c r="Y11" i="10"/>
  <c r="V11" i="10"/>
  <c r="Y13" i="10"/>
  <c r="P17" i="10"/>
  <c r="P2" i="10"/>
  <c r="P33" i="10"/>
  <c r="K76" i="10"/>
  <c r="AF62" i="10"/>
  <c r="I76" i="10"/>
  <c r="Y36" i="10"/>
  <c r="I44" i="10"/>
  <c r="Y55" i="10"/>
  <c r="L44" i="10"/>
  <c r="Y60" i="10"/>
  <c r="W38" i="10"/>
  <c r="AF83" i="10"/>
  <c r="AF81" i="10"/>
  <c r="W35" i="10"/>
  <c r="AF82" i="10"/>
  <c r="O78" i="10"/>
  <c r="O105" i="10"/>
  <c r="H76" i="10"/>
  <c r="T76" i="10"/>
  <c r="Y84" i="10"/>
  <c r="AF19" i="10"/>
  <c r="M17" i="10"/>
  <c r="U17" i="10"/>
  <c r="Q2" i="10"/>
  <c r="N62" i="10"/>
  <c r="Q62" i="10"/>
  <c r="H57" i="10"/>
  <c r="T57" i="10"/>
  <c r="AF41" i="10"/>
  <c r="AF38" i="10"/>
  <c r="AF88" i="10"/>
  <c r="W37" i="10"/>
  <c r="AF64" i="10"/>
  <c r="X5" i="10"/>
  <c r="AF90" i="10"/>
  <c r="AF26" i="10"/>
  <c r="AF43" i="10"/>
  <c r="AF70" i="10"/>
  <c r="AF30" i="10"/>
  <c r="AF80" i="10"/>
  <c r="AF79" i="10"/>
  <c r="AF69" i="10"/>
  <c r="AF85" i="10"/>
  <c r="V40" i="10"/>
  <c r="AF45" i="10"/>
  <c r="W51" i="10"/>
  <c r="AF7" i="10"/>
  <c r="W23" i="10"/>
  <c r="X35" i="10"/>
  <c r="V66" i="10"/>
  <c r="W53" i="10"/>
  <c r="X9" i="10"/>
  <c r="X13" i="10"/>
  <c r="W52" i="10"/>
  <c r="Y83" i="10"/>
  <c r="P46" i="10"/>
  <c r="N46" i="10"/>
  <c r="M46" i="10"/>
  <c r="V62" i="10"/>
  <c r="V81" i="10"/>
  <c r="N42" i="10"/>
  <c r="M42" i="10"/>
  <c r="O42" i="10"/>
  <c r="X28" i="10"/>
  <c r="M44" i="10"/>
  <c r="U44" i="10"/>
  <c r="N44" i="10"/>
  <c r="W58" i="10"/>
  <c r="W50" i="10"/>
  <c r="I16" i="10"/>
  <c r="V13" i="10"/>
  <c r="M77" i="10"/>
  <c r="U77" i="10"/>
  <c r="Q77" i="10"/>
  <c r="N57" i="10"/>
  <c r="V57" i="10"/>
  <c r="H63" i="10"/>
  <c r="T63" i="10"/>
  <c r="J76" i="10"/>
  <c r="K89" i="10"/>
  <c r="X89" i="10"/>
  <c r="Q72" i="10"/>
  <c r="M32" i="10"/>
  <c r="N32" i="10"/>
  <c r="N77" i="10"/>
  <c r="P57" i="10"/>
  <c r="V84" i="10"/>
  <c r="Q46" i="10"/>
  <c r="P42" i="10"/>
  <c r="X84" i="10"/>
  <c r="V39" i="10"/>
  <c r="O46" i="10"/>
  <c r="V35" i="10"/>
  <c r="X64" i="10"/>
  <c r="V5" i="10"/>
  <c r="W86" i="10"/>
  <c r="M33" i="10"/>
  <c r="N33" i="10"/>
  <c r="X19" i="10"/>
  <c r="W49" i="10"/>
  <c r="Y7" i="10"/>
  <c r="Y56" i="10"/>
  <c r="X51" i="10"/>
  <c r="Y21" i="10"/>
  <c r="V21" i="10"/>
  <c r="V82" i="10"/>
  <c r="V71" i="10"/>
  <c r="Y40" i="10"/>
  <c r="X45" i="10"/>
  <c r="V68" i="10"/>
  <c r="W4" i="10"/>
  <c r="Y79" i="10"/>
  <c r="Y69" i="10"/>
  <c r="X68" i="10"/>
  <c r="X8" i="10"/>
  <c r="Y39" i="10"/>
  <c r="V41" i="10"/>
  <c r="X23" i="10"/>
  <c r="Y22" i="10"/>
  <c r="Y80" i="10"/>
  <c r="W25" i="10"/>
  <c r="L48" i="10"/>
  <c r="K48" i="10"/>
  <c r="I48" i="10"/>
  <c r="J48" i="10"/>
  <c r="H48" i="10"/>
  <c r="T48" i="10"/>
  <c r="N47" i="10"/>
  <c r="O47" i="10"/>
  <c r="M47" i="10"/>
  <c r="U47" i="10"/>
  <c r="P47" i="10"/>
  <c r="Q47" i="10"/>
  <c r="Y90" i="10"/>
  <c r="L29" i="10"/>
  <c r="Y29" i="10"/>
  <c r="K29" i="10"/>
  <c r="X29" i="10"/>
  <c r="H29" i="10"/>
  <c r="T29" i="10"/>
  <c r="J29" i="10"/>
  <c r="W29" i="10"/>
  <c r="I29" i="10"/>
  <c r="V29" i="10"/>
  <c r="Q76" i="10"/>
  <c r="Y76" i="10"/>
  <c r="N76" i="10"/>
  <c r="V76" i="10"/>
  <c r="O76" i="10"/>
  <c r="P76" i="10"/>
  <c r="M76" i="10"/>
  <c r="U76" i="10"/>
  <c r="X80" i="10"/>
  <c r="X73" i="10"/>
  <c r="V50" i="10"/>
  <c r="W9" i="10"/>
  <c r="Q3" i="10"/>
  <c r="H103" i="10"/>
  <c r="V103" i="10"/>
  <c r="E26" i="3"/>
  <c r="H44" i="10"/>
  <c r="T44" i="10"/>
  <c r="V55" i="10"/>
  <c r="Y28" i="10"/>
  <c r="Y71" i="10"/>
  <c r="T28" i="10"/>
  <c r="AF28" i="10"/>
  <c r="O16" i="10"/>
  <c r="W16" i="10"/>
  <c r="M16" i="10"/>
  <c r="U16" i="10"/>
  <c r="AF16" i="10"/>
  <c r="AH94" i="10"/>
  <c r="P16" i="10"/>
  <c r="X16" i="10"/>
  <c r="N16" i="10"/>
  <c r="Q16" i="10"/>
  <c r="X25" i="10"/>
  <c r="N87" i="10"/>
  <c r="O87" i="10"/>
  <c r="Q87" i="10"/>
  <c r="M87" i="10"/>
  <c r="U87" i="10"/>
  <c r="P87" i="10"/>
  <c r="K72" i="10"/>
  <c r="I72" i="10"/>
  <c r="H72" i="10"/>
  <c r="J72" i="10"/>
  <c r="L72" i="10"/>
  <c r="L77" i="10"/>
  <c r="K77" i="10"/>
  <c r="H77" i="10"/>
  <c r="T77" i="10"/>
  <c r="AF77" i="10"/>
  <c r="I77" i="10"/>
  <c r="J77" i="10"/>
  <c r="J63" i="10"/>
  <c r="L63" i="10"/>
  <c r="L59" i="10"/>
  <c r="K59" i="10"/>
  <c r="I59" i="10"/>
  <c r="H59" i="10"/>
  <c r="T59" i="10"/>
  <c r="J59" i="10"/>
  <c r="H3" i="10"/>
  <c r="T3" i="10"/>
  <c r="K3" i="10"/>
  <c r="I3" i="10"/>
  <c r="V3" i="10"/>
  <c r="J3" i="10"/>
  <c r="W3" i="10"/>
  <c r="L3" i="10"/>
  <c r="P32" i="10"/>
  <c r="Q59" i="10"/>
  <c r="Q102" i="10"/>
  <c r="M59" i="10"/>
  <c r="U59" i="10"/>
  <c r="O59" i="10"/>
  <c r="P59" i="10"/>
  <c r="N59" i="10"/>
  <c r="O74" i="10"/>
  <c r="Q74" i="10"/>
  <c r="M74" i="10"/>
  <c r="U74" i="10"/>
  <c r="W24" i="10"/>
  <c r="L46" i="10"/>
  <c r="I46" i="10"/>
  <c r="K46" i="10"/>
  <c r="U46" i="10"/>
  <c r="J46" i="10"/>
  <c r="H46" i="10"/>
  <c r="T46" i="10"/>
  <c r="X75" i="10"/>
  <c r="V51" i="10"/>
  <c r="Y66" i="10"/>
  <c r="N31" i="10"/>
  <c r="P31" i="10"/>
  <c r="Q31" i="10"/>
  <c r="O31" i="10"/>
  <c r="M31" i="10"/>
  <c r="U31" i="10"/>
  <c r="AF31" i="10"/>
  <c r="AH95" i="10"/>
  <c r="X56" i="10"/>
  <c r="Y15" i="10"/>
  <c r="V90" i="10"/>
  <c r="P12" i="10"/>
  <c r="N12" i="10"/>
  <c r="Q12" i="10"/>
  <c r="M12" i="10"/>
  <c r="U12" i="10"/>
  <c r="O12" i="10"/>
  <c r="N72" i="10"/>
  <c r="P72" i="10"/>
  <c r="W67" i="10"/>
  <c r="W6" i="10"/>
  <c r="W65" i="10"/>
  <c r="Y30" i="10"/>
  <c r="X85" i="10"/>
  <c r="X82" i="10"/>
  <c r="L47" i="10"/>
  <c r="I47" i="10"/>
  <c r="V47" i="10"/>
  <c r="J47" i="10"/>
  <c r="K47" i="10"/>
  <c r="H47" i="10"/>
  <c r="V45" i="10"/>
  <c r="K74" i="10"/>
  <c r="X74" i="10"/>
  <c r="I74" i="10"/>
  <c r="V74" i="10"/>
  <c r="L74" i="10"/>
  <c r="H74" i="10"/>
  <c r="T74" i="10"/>
  <c r="J74" i="10"/>
  <c r="X10" i="10"/>
  <c r="V10" i="10"/>
  <c r="X50" i="10"/>
  <c r="X39" i="10"/>
  <c r="X79" i="10"/>
  <c r="W69" i="10"/>
  <c r="W19" i="10"/>
  <c r="V19" i="10"/>
  <c r="Y49" i="10"/>
  <c r="T84" i="10"/>
  <c r="AF84" i="10"/>
  <c r="O91" i="10"/>
  <c r="M91" i="10"/>
  <c r="U91" i="10"/>
  <c r="P91" i="10"/>
  <c r="N91" i="10"/>
  <c r="Q91" i="10"/>
  <c r="H91" i="10"/>
  <c r="T91" i="10"/>
  <c r="AF91" i="10"/>
  <c r="AH99" i="10"/>
  <c r="K91" i="10"/>
  <c r="X91" i="10"/>
  <c r="J91" i="10"/>
  <c r="L91" i="10"/>
  <c r="Y91" i="10"/>
  <c r="I91" i="10"/>
  <c r="V24" i="10"/>
  <c r="J12" i="10"/>
  <c r="H12" i="10"/>
  <c r="T12" i="10"/>
  <c r="L12" i="10"/>
  <c r="K12" i="10"/>
  <c r="I12" i="10"/>
  <c r="V37" i="10"/>
  <c r="W90" i="10"/>
  <c r="Y65" i="10"/>
  <c r="U49" i="10"/>
  <c r="AF49" i="10"/>
  <c r="P3" i="10"/>
  <c r="P95" i="10"/>
  <c r="Q105" i="10"/>
  <c r="U89" i="10"/>
  <c r="AF89" i="10"/>
  <c r="O14" i="10"/>
  <c r="V20" i="10"/>
  <c r="I63" i="10"/>
  <c r="I103" i="10"/>
  <c r="P14" i="10"/>
  <c r="Y25" i="10"/>
  <c r="V25" i="10"/>
  <c r="W57" i="10"/>
  <c r="W41" i="10"/>
  <c r="V89" i="10"/>
  <c r="W73" i="10"/>
  <c r="O48" i="10"/>
  <c r="N48" i="10"/>
  <c r="P48" i="10"/>
  <c r="M48" i="10"/>
  <c r="U48" i="10"/>
  <c r="Q48" i="10"/>
  <c r="H32" i="10"/>
  <c r="L32" i="10"/>
  <c r="I32" i="10"/>
  <c r="J32" i="10"/>
  <c r="U32" i="10"/>
  <c r="K32" i="10"/>
  <c r="L87" i="10"/>
  <c r="K87" i="10"/>
  <c r="H87" i="10"/>
  <c r="M27" i="10"/>
  <c r="U27" i="10"/>
  <c r="N27" i="10"/>
  <c r="Q27" i="10"/>
  <c r="P27" i="10"/>
  <c r="O27" i="10"/>
  <c r="O98" i="10"/>
  <c r="L89" i="10"/>
  <c r="Y89" i="10"/>
  <c r="J89" i="10"/>
  <c r="W89" i="10"/>
  <c r="I17" i="10"/>
  <c r="H17" i="10"/>
  <c r="L17" i="10"/>
  <c r="K17" i="10"/>
  <c r="X17" i="10"/>
  <c r="J17" i="10"/>
  <c r="X58" i="10"/>
  <c r="Y81" i="10"/>
  <c r="X66" i="10"/>
  <c r="V88" i="10"/>
  <c r="L2" i="10"/>
  <c r="Y2" i="10"/>
  <c r="I2" i="10"/>
  <c r="H2" i="10"/>
  <c r="T2" i="10"/>
  <c r="AF2" i="10"/>
  <c r="J2" i="10"/>
  <c r="W2" i="10"/>
  <c r="K2" i="10"/>
  <c r="X2" i="10"/>
  <c r="Y5" i="10"/>
  <c r="Y86" i="10"/>
  <c r="L57" i="10"/>
  <c r="K57" i="10"/>
  <c r="W81" i="10"/>
  <c r="P78" i="10"/>
  <c r="P105" i="10"/>
  <c r="N78" i="10"/>
  <c r="N105" i="10"/>
  <c r="X37" i="10"/>
  <c r="X6" i="10"/>
  <c r="X15" i="10"/>
  <c r="W26" i="10"/>
  <c r="V54" i="10"/>
  <c r="W30" i="10"/>
  <c r="W56" i="10"/>
  <c r="V15" i="10"/>
  <c r="V80" i="10"/>
  <c r="W80" i="10"/>
  <c r="W85" i="10"/>
  <c r="X21" i="10"/>
  <c r="J18" i="10"/>
  <c r="I18" i="10"/>
  <c r="L18" i="10"/>
  <c r="K18" i="10"/>
  <c r="H18" i="10"/>
  <c r="T18" i="10"/>
  <c r="L31" i="10"/>
  <c r="K31" i="10"/>
  <c r="I31" i="10"/>
  <c r="X40" i="10"/>
  <c r="Y10" i="10"/>
  <c r="Y4" i="10"/>
  <c r="X49" i="10"/>
  <c r="W7" i="10"/>
  <c r="U36" i="10"/>
  <c r="AF36" i="10"/>
  <c r="H61" i="10"/>
  <c r="T61" i="10"/>
  <c r="AF61" i="10"/>
  <c r="AH97" i="10"/>
  <c r="K61" i="10"/>
  <c r="X61" i="10"/>
  <c r="L61" i="10"/>
  <c r="Y61" i="10"/>
  <c r="I61" i="10"/>
  <c r="V61" i="10"/>
  <c r="J61" i="10"/>
  <c r="W61" i="10"/>
  <c r="P44" i="10"/>
  <c r="P100" i="10"/>
  <c r="Q44" i="10"/>
  <c r="Y44" i="10"/>
  <c r="O44" i="10"/>
  <c r="W44" i="10"/>
  <c r="J42" i="10"/>
  <c r="H42" i="10"/>
  <c r="I42" i="10"/>
  <c r="L42" i="10"/>
  <c r="K42" i="10"/>
  <c r="U65" i="10"/>
  <c r="AF65" i="10"/>
  <c r="Y9" i="10"/>
  <c r="Y16" i="10"/>
  <c r="U29" i="10"/>
  <c r="U15" i="10"/>
  <c r="AF15" i="10"/>
  <c r="W11" i="10"/>
  <c r="N101" i="10"/>
  <c r="M3" i="10"/>
  <c r="U3" i="10"/>
  <c r="U73" i="10"/>
  <c r="AF73" i="10"/>
  <c r="X20" i="10"/>
  <c r="L62" i="10"/>
  <c r="M14" i="10"/>
  <c r="U14" i="10"/>
  <c r="J62" i="10"/>
  <c r="K62" i="10"/>
  <c r="Y23" i="10"/>
  <c r="W8" i="10"/>
  <c r="K44" i="10"/>
  <c r="J87" i="10"/>
  <c r="O62" i="10"/>
  <c r="Y73" i="10"/>
  <c r="V8" i="10"/>
  <c r="V34" i="10"/>
  <c r="M63" i="10"/>
  <c r="U63" i="10"/>
  <c r="Q63" i="10"/>
  <c r="O63" i="10"/>
  <c r="P63" i="10"/>
  <c r="X63" i="10"/>
  <c r="N63" i="10"/>
  <c r="N103" i="10"/>
  <c r="J27" i="10"/>
  <c r="I27" i="10"/>
  <c r="H27" i="10"/>
  <c r="T27" i="10"/>
  <c r="K27" i="10"/>
  <c r="L27" i="10"/>
  <c r="K78" i="10"/>
  <c r="J78" i="10"/>
  <c r="I78" i="10"/>
  <c r="H78" i="10"/>
  <c r="T78" i="10"/>
  <c r="AF78" i="10"/>
  <c r="L78" i="10"/>
  <c r="Y78" i="10"/>
  <c r="Y58" i="10"/>
  <c r="W54" i="10"/>
  <c r="Y24" i="10"/>
  <c r="X65" i="10"/>
  <c r="Q42" i="10"/>
  <c r="N18" i="10"/>
  <c r="N97" i="10"/>
  <c r="O18" i="10"/>
  <c r="Q18" i="10"/>
  <c r="P18" i="10"/>
  <c r="P97" i="10"/>
  <c r="M18" i="10"/>
  <c r="U18" i="10"/>
  <c r="X88" i="10"/>
  <c r="I14" i="10"/>
  <c r="K14" i="10"/>
  <c r="H14" i="10"/>
  <c r="T14" i="10"/>
  <c r="AF14" i="10"/>
  <c r="L14" i="10"/>
  <c r="Y14" i="10"/>
  <c r="J14" i="10"/>
  <c r="H33" i="10"/>
  <c r="T33" i="10"/>
  <c r="L33" i="10"/>
  <c r="Y33" i="10"/>
  <c r="I33" i="10"/>
  <c r="J33" i="10"/>
  <c r="W33" i="10"/>
  <c r="U33" i="10"/>
  <c r="K33" i="10"/>
  <c r="X33" i="10"/>
  <c r="X53" i="10"/>
  <c r="X70" i="10"/>
  <c r="W15" i="10"/>
  <c r="V70" i="10"/>
  <c r="Y85" i="10"/>
  <c r="V85" i="10"/>
  <c r="W21" i="10"/>
  <c r="V73" i="10"/>
  <c r="X71" i="10"/>
  <c r="W40" i="10"/>
  <c r="W45" i="10"/>
  <c r="Y45" i="10"/>
  <c r="V79" i="10"/>
  <c r="W79" i="10"/>
  <c r="V69" i="10"/>
  <c r="Y19" i="10"/>
  <c r="V49" i="10"/>
  <c r="X7" i="10"/>
  <c r="V7" i="10"/>
  <c r="O97" i="10"/>
  <c r="Q99" i="10"/>
  <c r="O99" i="10"/>
  <c r="P99" i="10"/>
  <c r="J96" i="10"/>
  <c r="O95" i="10"/>
  <c r="O102" i="10"/>
  <c r="Q95" i="10"/>
  <c r="M95" i="10"/>
  <c r="W95" i="10"/>
  <c r="F18" i="3"/>
  <c r="C2" i="1"/>
  <c r="O104" i="10"/>
  <c r="V44" i="10"/>
  <c r="Q97" i="10"/>
  <c r="V17" i="10"/>
  <c r="P102" i="10"/>
  <c r="N100" i="10"/>
  <c r="P101" i="10"/>
  <c r="V14" i="10"/>
  <c r="O96" i="10"/>
  <c r="Y96" i="10"/>
  <c r="H19" i="3"/>
  <c r="Y74" i="10"/>
  <c r="X46" i="10"/>
  <c r="Q103" i="10"/>
  <c r="X76" i="10"/>
  <c r="AF57" i="10"/>
  <c r="AF97" i="10"/>
  <c r="W78" i="10"/>
  <c r="AF27" i="10"/>
  <c r="AF95" i="10"/>
  <c r="AG99" i="10"/>
  <c r="K95" i="10"/>
  <c r="W31" i="10"/>
  <c r="N99" i="10"/>
  <c r="Q104" i="10"/>
  <c r="I96" i="10"/>
  <c r="L95" i="10"/>
  <c r="AA95" i="10"/>
  <c r="J18" i="3"/>
  <c r="W14" i="10"/>
  <c r="X31" i="10"/>
  <c r="I95" i="10"/>
  <c r="W27" i="10"/>
  <c r="M105" i="10"/>
  <c r="W105" i="10"/>
  <c r="F28" i="3"/>
  <c r="V2" i="10"/>
  <c r="AF12" i="10"/>
  <c r="AF94" i="10"/>
  <c r="Q106" i="10"/>
  <c r="W46" i="10"/>
  <c r="Y46" i="10"/>
  <c r="AF76" i="10"/>
  <c r="AH98" i="10"/>
  <c r="AF33" i="10"/>
  <c r="N98" i="10"/>
  <c r="AF46" i="10"/>
  <c r="AH96" i="10"/>
  <c r="AF3" i="10"/>
  <c r="AG94" i="10"/>
  <c r="AF44" i="10"/>
  <c r="AG96" i="10"/>
  <c r="AF18" i="10"/>
  <c r="AF74" i="10"/>
  <c r="AG98" i="10"/>
  <c r="V16" i="10"/>
  <c r="AF29" i="10"/>
  <c r="AG95" i="10"/>
  <c r="Q101" i="10"/>
  <c r="W76" i="10"/>
  <c r="F14" i="3"/>
  <c r="V33" i="10"/>
  <c r="K97" i="10"/>
  <c r="Z97" i="10"/>
  <c r="I20" i="3"/>
  <c r="N102" i="10"/>
  <c r="AF59" i="10"/>
  <c r="AG97" i="10"/>
  <c r="AF48" i="10"/>
  <c r="AF63" i="10"/>
  <c r="L96" i="10"/>
  <c r="E4" i="3"/>
  <c r="F10" i="3"/>
  <c r="Q98" i="10"/>
  <c r="N104" i="10"/>
  <c r="N96" i="10"/>
  <c r="N106" i="10"/>
  <c r="X14" i="10"/>
  <c r="V78" i="10"/>
  <c r="O103" i="10"/>
  <c r="Y31" i="10"/>
  <c r="M102" i="10"/>
  <c r="W102" i="10"/>
  <c r="F25" i="3"/>
  <c r="Q100" i="10"/>
  <c r="W74" i="10"/>
  <c r="Q96" i="10"/>
  <c r="W59" i="10"/>
  <c r="X72" i="10"/>
  <c r="K96" i="10"/>
  <c r="G4" i="3"/>
  <c r="P98" i="10"/>
  <c r="Y12" i="10"/>
  <c r="H4" i="3"/>
  <c r="X103" i="10"/>
  <c r="G26" i="3"/>
  <c r="F13" i="3"/>
  <c r="P106" i="10"/>
  <c r="H98" i="10"/>
  <c r="V98" i="10"/>
  <c r="O101" i="10"/>
  <c r="Z95" i="10"/>
  <c r="I18" i="3"/>
  <c r="M103" i="10"/>
  <c r="W103" i="10"/>
  <c r="F26" i="3"/>
  <c r="O106" i="10"/>
  <c r="F9" i="3"/>
  <c r="V46" i="10"/>
  <c r="X96" i="10"/>
  <c r="G19" i="3"/>
  <c r="O6" i="5"/>
  <c r="H95" i="10"/>
  <c r="V95" i="10"/>
  <c r="E18" i="3"/>
  <c r="P104" i="10"/>
  <c r="X78" i="10"/>
  <c r="X44" i="10"/>
  <c r="O100" i="10"/>
  <c r="M98" i="10"/>
  <c r="W98" i="10"/>
  <c r="F21" i="3"/>
  <c r="V31" i="10"/>
  <c r="V12" i="10"/>
  <c r="G9" i="3"/>
  <c r="Y3" i="10"/>
  <c r="Y27" i="10"/>
  <c r="L98" i="10"/>
  <c r="J103" i="10"/>
  <c r="Y103" i="10"/>
  <c r="H26" i="3"/>
  <c r="W62" i="10"/>
  <c r="J98" i="10"/>
  <c r="Y98" i="10"/>
  <c r="H21" i="3"/>
  <c r="V42" i="10"/>
  <c r="I100" i="10"/>
  <c r="X100" i="10"/>
  <c r="G23" i="3"/>
  <c r="V18" i="10"/>
  <c r="Y17" i="10"/>
  <c r="L97" i="10"/>
  <c r="AA97" i="10"/>
  <c r="J20" i="3"/>
  <c r="Y87" i="10"/>
  <c r="L106" i="10"/>
  <c r="V32" i="10"/>
  <c r="I99" i="10"/>
  <c r="X99" i="10"/>
  <c r="G22" i="3"/>
  <c r="W47" i="10"/>
  <c r="J101" i="10"/>
  <c r="Y63" i="10"/>
  <c r="W72" i="10"/>
  <c r="J104" i="10"/>
  <c r="Y104" i="10"/>
  <c r="H27" i="3"/>
  <c r="J102" i="10"/>
  <c r="Y102" i="10"/>
  <c r="H25" i="3"/>
  <c r="W48" i="10"/>
  <c r="M97" i="10"/>
  <c r="W97" i="10"/>
  <c r="F20" i="3"/>
  <c r="D4" i="3"/>
  <c r="D5" i="3"/>
  <c r="F4" i="3"/>
  <c r="X27" i="10"/>
  <c r="K98" i="10"/>
  <c r="Z98" i="10"/>
  <c r="I21" i="3"/>
  <c r="M104" i="10"/>
  <c r="W104" i="10"/>
  <c r="F27" i="3"/>
  <c r="U42" i="10"/>
  <c r="F11" i="3"/>
  <c r="M100" i="10"/>
  <c r="W100" i="10"/>
  <c r="F23" i="3"/>
  <c r="T42" i="10"/>
  <c r="AF42" i="10"/>
  <c r="AF96" i="10"/>
  <c r="H100" i="10"/>
  <c r="V100" i="10"/>
  <c r="W18" i="10"/>
  <c r="X57" i="10"/>
  <c r="K102" i="10"/>
  <c r="Z102" i="10"/>
  <c r="I25" i="3"/>
  <c r="T17" i="10"/>
  <c r="H97" i="10"/>
  <c r="V97" i="10"/>
  <c r="X32" i="10"/>
  <c r="K99" i="10"/>
  <c r="Z99" i="10"/>
  <c r="I22" i="3"/>
  <c r="Y32" i="10"/>
  <c r="L99" i="10"/>
  <c r="AA99" i="10"/>
  <c r="J22" i="3"/>
  <c r="I97" i="10"/>
  <c r="X97" i="10"/>
  <c r="G20" i="3"/>
  <c r="P103" i="10"/>
  <c r="M106" i="10"/>
  <c r="W106" i="10"/>
  <c r="F29" i="3"/>
  <c r="N25" i="5"/>
  <c r="W12" i="10"/>
  <c r="W91" i="10"/>
  <c r="X3" i="10"/>
  <c r="V59" i="10"/>
  <c r="W63" i="10"/>
  <c r="X77" i="10"/>
  <c r="K105" i="10"/>
  <c r="Z105" i="10"/>
  <c r="I28" i="3"/>
  <c r="T72" i="10"/>
  <c r="H104" i="10"/>
  <c r="V104" i="10"/>
  <c r="V87" i="10"/>
  <c r="I101" i="10"/>
  <c r="X101" i="10"/>
  <c r="G24" i="3"/>
  <c r="H102" i="10"/>
  <c r="V102" i="10"/>
  <c r="V48" i="10"/>
  <c r="X95" i="10"/>
  <c r="G18" i="3"/>
  <c r="H96" i="10"/>
  <c r="V96" i="10"/>
  <c r="W87" i="10"/>
  <c r="J106" i="10"/>
  <c r="Y106" i="10"/>
  <c r="H29" i="3"/>
  <c r="Y62" i="10"/>
  <c r="L103" i="10"/>
  <c r="AA103" i="10"/>
  <c r="J26" i="3"/>
  <c r="M96" i="10"/>
  <c r="W96" i="10"/>
  <c r="F19" i="3"/>
  <c r="N24" i="5"/>
  <c r="X42" i="10"/>
  <c r="K100" i="10"/>
  <c r="Z100" i="10"/>
  <c r="I23" i="3"/>
  <c r="W42" i="10"/>
  <c r="J100" i="10"/>
  <c r="Y100" i="10"/>
  <c r="H23" i="3"/>
  <c r="M99" i="10"/>
  <c r="W99" i="10"/>
  <c r="F22" i="3"/>
  <c r="X18" i="10"/>
  <c r="Y57" i="10"/>
  <c r="L102" i="10"/>
  <c r="AA102" i="10"/>
  <c r="J25" i="3"/>
  <c r="H9" i="3"/>
  <c r="W17" i="10"/>
  <c r="J97" i="10"/>
  <c r="Y97" i="10"/>
  <c r="H20" i="3"/>
  <c r="T87" i="10"/>
  <c r="H106" i="10"/>
  <c r="V106" i="10"/>
  <c r="T32" i="10"/>
  <c r="AF32" i="10"/>
  <c r="H99" i="10"/>
  <c r="V99" i="10"/>
  <c r="M101" i="10"/>
  <c r="W101" i="10"/>
  <c r="F24" i="3"/>
  <c r="X12" i="10"/>
  <c r="T47" i="10"/>
  <c r="H101" i="10"/>
  <c r="V101" i="10"/>
  <c r="Y47" i="10"/>
  <c r="L101" i="10"/>
  <c r="AA101" i="10"/>
  <c r="J24" i="3"/>
  <c r="X59" i="10"/>
  <c r="W77" i="10"/>
  <c r="J105" i="10"/>
  <c r="Y105" i="10"/>
  <c r="H28" i="3"/>
  <c r="Y77" i="10"/>
  <c r="J14" i="3"/>
  <c r="L105" i="10"/>
  <c r="AA105" i="10"/>
  <c r="J28" i="3"/>
  <c r="V72" i="10"/>
  <c r="I104" i="10"/>
  <c r="K104" i="10"/>
  <c r="Z104" i="10"/>
  <c r="I27" i="3"/>
  <c r="J95" i="10"/>
  <c r="Y95" i="10"/>
  <c r="H18" i="3"/>
  <c r="X48" i="10"/>
  <c r="I4" i="3"/>
  <c r="V27" i="10"/>
  <c r="I98" i="10"/>
  <c r="X98" i="10"/>
  <c r="G21" i="3"/>
  <c r="K103" i="10"/>
  <c r="X62" i="10"/>
  <c r="Y42" i="10"/>
  <c r="L100" i="10"/>
  <c r="AA100" i="10"/>
  <c r="J23" i="3"/>
  <c r="P96" i="10"/>
  <c r="Z96" i="10"/>
  <c r="I19" i="3"/>
  <c r="Y18" i="10"/>
  <c r="E9" i="3"/>
  <c r="I10" i="3"/>
  <c r="X87" i="10"/>
  <c r="K106" i="10"/>
  <c r="W32" i="10"/>
  <c r="J99" i="10"/>
  <c r="Y99" i="10"/>
  <c r="H22" i="3"/>
  <c r="V63" i="10"/>
  <c r="V91" i="10"/>
  <c r="I106" i="10"/>
  <c r="X106" i="10"/>
  <c r="G29" i="3"/>
  <c r="H105" i="10"/>
  <c r="V105" i="10"/>
  <c r="X47" i="10"/>
  <c r="K101" i="10"/>
  <c r="Z101" i="10"/>
  <c r="I24" i="3"/>
  <c r="Y59" i="10"/>
  <c r="V77" i="10"/>
  <c r="I105" i="10"/>
  <c r="X105" i="10"/>
  <c r="G28" i="3"/>
  <c r="Y72" i="10"/>
  <c r="L104" i="10"/>
  <c r="AA104" i="10"/>
  <c r="J27" i="3"/>
  <c r="I102" i="10"/>
  <c r="X102" i="10"/>
  <c r="G25" i="3"/>
  <c r="F12" i="3"/>
  <c r="Y48" i="10"/>
  <c r="U95" i="10"/>
  <c r="D18" i="3"/>
  <c r="AI96" i="10"/>
  <c r="N34" i="3"/>
  <c r="O34" i="3"/>
  <c r="P34" i="3"/>
  <c r="AI94" i="10"/>
  <c r="AI95" i="10"/>
  <c r="AI97" i="10"/>
  <c r="H14" i="3"/>
  <c r="G14" i="3"/>
  <c r="O24" i="5"/>
  <c r="F5" i="3"/>
  <c r="G10" i="3"/>
  <c r="Z106" i="10"/>
  <c r="I29" i="3"/>
  <c r="I13" i="3"/>
  <c r="X104" i="10"/>
  <c r="G27" i="3"/>
  <c r="AA106" i="10"/>
  <c r="J29" i="3"/>
  <c r="J9" i="3"/>
  <c r="AA96" i="10"/>
  <c r="J19" i="3"/>
  <c r="Z103" i="10"/>
  <c r="I26" i="3"/>
  <c r="G5" i="3"/>
  <c r="H5" i="3"/>
  <c r="G11" i="3"/>
  <c r="E5" i="3"/>
  <c r="I5" i="3"/>
  <c r="E12" i="3"/>
  <c r="AF47" i="10"/>
  <c r="AA98" i="10"/>
  <c r="J21" i="3"/>
  <c r="E13" i="3"/>
  <c r="AF72" i="10"/>
  <c r="AF98" i="10"/>
  <c r="E10" i="3"/>
  <c r="AF17" i="10"/>
  <c r="Y101" i="10"/>
  <c r="H24" i="3"/>
  <c r="E14" i="3"/>
  <c r="AF87" i="10"/>
  <c r="AF99" i="10"/>
  <c r="K18" i="3"/>
  <c r="E11" i="3"/>
  <c r="H10" i="3"/>
  <c r="G12" i="3"/>
  <c r="I9" i="3"/>
  <c r="D33" i="5"/>
  <c r="I12" i="3"/>
  <c r="U98" i="10"/>
  <c r="D21" i="3"/>
  <c r="E21" i="3"/>
  <c r="K26" i="3"/>
  <c r="U103" i="10"/>
  <c r="D26" i="3"/>
  <c r="E24" i="3"/>
  <c r="K24" i="3"/>
  <c r="U101" i="10"/>
  <c r="D24" i="3"/>
  <c r="E28" i="3"/>
  <c r="K28" i="3"/>
  <c r="U105" i="10"/>
  <c r="D28" i="3"/>
  <c r="G13" i="3"/>
  <c r="I14" i="3"/>
  <c r="D34" i="5"/>
  <c r="J10" i="3"/>
  <c r="E19" i="3"/>
  <c r="U96" i="10"/>
  <c r="D19" i="3"/>
  <c r="U104" i="10"/>
  <c r="D27" i="3"/>
  <c r="E27" i="3"/>
  <c r="I11" i="3"/>
  <c r="U100" i="10"/>
  <c r="D23" i="3"/>
  <c r="E23" i="3"/>
  <c r="K23" i="3"/>
  <c r="O25" i="5"/>
  <c r="O7" i="5"/>
  <c r="H11" i="3"/>
  <c r="J12" i="3"/>
  <c r="E29" i="3"/>
  <c r="U106" i="10"/>
  <c r="D29" i="3"/>
  <c r="J13" i="3"/>
  <c r="E25" i="3"/>
  <c r="K25" i="3"/>
  <c r="U102" i="10"/>
  <c r="D25" i="3"/>
  <c r="U97" i="10"/>
  <c r="D20" i="3"/>
  <c r="E20" i="3"/>
  <c r="K20" i="3"/>
  <c r="H12" i="3"/>
  <c r="H13" i="3"/>
  <c r="E22" i="3"/>
  <c r="K22" i="3"/>
  <c r="U99" i="10"/>
  <c r="D22" i="3"/>
  <c r="J11" i="3"/>
  <c r="O15" i="5"/>
  <c r="N14" i="5"/>
  <c r="N6" i="5"/>
  <c r="N15" i="5"/>
  <c r="N7" i="5"/>
  <c r="AI99" i="10"/>
  <c r="AI98" i="10"/>
  <c r="P35" i="3"/>
  <c r="O35" i="3"/>
  <c r="N35" i="3"/>
  <c r="P33" i="3"/>
  <c r="O33" i="3"/>
  <c r="N33" i="3"/>
  <c r="P32" i="3"/>
  <c r="O32" i="3"/>
  <c r="N32" i="3"/>
  <c r="K27" i="3"/>
  <c r="Q28" i="3"/>
  <c r="O28" i="3"/>
  <c r="N28" i="3"/>
  <c r="M15" i="5"/>
  <c r="P15" i="5"/>
  <c r="Q15" i="5"/>
  <c r="F19" i="5"/>
  <c r="S28" i="3"/>
  <c r="R28" i="3"/>
  <c r="K21" i="3"/>
  <c r="M6" i="5"/>
  <c r="M24" i="5"/>
  <c r="P24" i="5"/>
  <c r="Q24" i="5"/>
  <c r="D28" i="5"/>
  <c r="K19" i="3"/>
  <c r="M7" i="5"/>
  <c r="P7" i="5"/>
  <c r="Q7" i="5"/>
  <c r="F10" i="5"/>
  <c r="M25" i="5"/>
  <c r="P25" i="5"/>
  <c r="Q25" i="5"/>
  <c r="F28" i="5"/>
  <c r="K29" i="3"/>
  <c r="P28" i="3"/>
  <c r="E15" i="1"/>
  <c r="R24" i="3"/>
  <c r="S23" i="3"/>
  <c r="P26" i="3"/>
  <c r="I11" i="1"/>
  <c r="O26" i="3"/>
  <c r="R23" i="3"/>
  <c r="R26" i="3"/>
  <c r="Q25" i="3"/>
  <c r="N27" i="3"/>
  <c r="O25" i="3"/>
  <c r="M14" i="5"/>
  <c r="N23" i="3"/>
  <c r="D14" i="3"/>
  <c r="C14" i="3"/>
  <c r="O23" i="3"/>
  <c r="O27" i="3"/>
  <c r="O14" i="5"/>
  <c r="P23" i="3"/>
  <c r="S25" i="3"/>
  <c r="P24" i="3"/>
  <c r="S27" i="3"/>
  <c r="O24" i="3"/>
  <c r="P27" i="3"/>
  <c r="Q23" i="3"/>
  <c r="R27" i="3"/>
  <c r="Q24" i="3"/>
  <c r="N24" i="3"/>
  <c r="N25" i="3"/>
  <c r="P25" i="3"/>
  <c r="R25" i="3"/>
  <c r="N26" i="3"/>
  <c r="S24" i="3"/>
  <c r="Q26" i="3"/>
  <c r="S26" i="3"/>
  <c r="Q27" i="3"/>
  <c r="H15" i="1"/>
  <c r="D14" i="1"/>
  <c r="G11" i="1"/>
  <c r="G15" i="1"/>
  <c r="I15" i="1"/>
  <c r="E14" i="1"/>
  <c r="F14" i="1"/>
  <c r="H14" i="1"/>
  <c r="I12" i="1"/>
  <c r="G14" i="1"/>
  <c r="I14" i="1"/>
  <c r="F13" i="1"/>
  <c r="E11" i="1"/>
  <c r="C15" i="1"/>
  <c r="M15" i="1"/>
  <c r="F15" i="1"/>
  <c r="H11" i="1"/>
  <c r="D11" i="1"/>
  <c r="D15" i="1"/>
  <c r="N15" i="1"/>
  <c r="F11" i="1"/>
  <c r="D13" i="1"/>
  <c r="D12" i="1"/>
  <c r="F12" i="1"/>
  <c r="H13" i="1"/>
  <c r="H12" i="1"/>
  <c r="E13" i="1"/>
  <c r="E12" i="1"/>
  <c r="E29" i="1"/>
  <c r="G13" i="1"/>
  <c r="G12" i="1"/>
  <c r="I13" i="1"/>
  <c r="C14" i="1"/>
  <c r="M14" i="1"/>
  <c r="C13" i="1"/>
  <c r="M13" i="1"/>
  <c r="C12" i="1"/>
  <c r="C11" i="1"/>
  <c r="M11" i="1"/>
  <c r="O36" i="3"/>
  <c r="P36" i="3"/>
  <c r="N36" i="3"/>
  <c r="P37" i="3"/>
  <c r="O37" i="3"/>
  <c r="N37" i="3"/>
  <c r="E34" i="1"/>
  <c r="P11" i="1"/>
  <c r="P15" i="1"/>
  <c r="S14" i="1"/>
  <c r="P14" i="1"/>
  <c r="Q11" i="1"/>
  <c r="D29" i="1"/>
  <c r="C29" i="1"/>
  <c r="C9" i="3"/>
  <c r="M12" i="1"/>
  <c r="C38" i="1"/>
  <c r="R13" i="1"/>
  <c r="O12" i="1"/>
  <c r="P12" i="1"/>
  <c r="Q14" i="1"/>
  <c r="O14" i="1"/>
  <c r="N14" i="1"/>
  <c r="S13" i="1"/>
  <c r="O13" i="1"/>
  <c r="N12" i="1"/>
  <c r="N11" i="1"/>
  <c r="O11" i="1"/>
  <c r="S12" i="1"/>
  <c r="S15" i="1"/>
  <c r="Q13" i="1"/>
  <c r="Q12" i="1"/>
  <c r="R12" i="1"/>
  <c r="N13" i="1"/>
  <c r="R11" i="1"/>
  <c r="P13" i="1"/>
  <c r="R14" i="1"/>
  <c r="Q15" i="1"/>
  <c r="R15" i="1"/>
  <c r="S11" i="1"/>
  <c r="O15" i="1"/>
  <c r="E33" i="1"/>
  <c r="I33" i="1"/>
  <c r="N14" i="3"/>
  <c r="P6" i="5"/>
  <c r="Q6" i="5"/>
  <c r="D10" i="5"/>
  <c r="H33" i="1"/>
  <c r="F31" i="1"/>
  <c r="C10" i="3"/>
  <c r="D10" i="3"/>
  <c r="C13" i="3"/>
  <c r="D13" i="3"/>
  <c r="G33" i="1"/>
  <c r="C12" i="3"/>
  <c r="D12" i="3"/>
  <c r="O14" i="3"/>
  <c r="Q14" i="3"/>
  <c r="R14" i="3"/>
  <c r="P14" i="3"/>
  <c r="C11" i="3"/>
  <c r="O11" i="3"/>
  <c r="D11" i="3"/>
  <c r="D32" i="1"/>
  <c r="P14" i="5"/>
  <c r="Q14" i="5"/>
  <c r="D19" i="5"/>
  <c r="C31" i="1"/>
  <c r="D31" i="1"/>
  <c r="I32" i="1"/>
  <c r="G32" i="1"/>
  <c r="H29" i="1"/>
  <c r="H32" i="1"/>
  <c r="D33" i="1"/>
  <c r="H31" i="1"/>
  <c r="F33" i="1"/>
  <c r="H34" i="1"/>
  <c r="G35" i="1"/>
  <c r="H35" i="1"/>
  <c r="I35" i="1"/>
  <c r="F35" i="1"/>
  <c r="I34" i="1"/>
  <c r="F34" i="1"/>
  <c r="G31" i="1"/>
  <c r="I31" i="1"/>
  <c r="E31" i="1"/>
  <c r="E32" i="1"/>
  <c r="F32" i="1"/>
  <c r="D35" i="1"/>
  <c r="G34" i="1"/>
  <c r="D34" i="1"/>
  <c r="E35" i="1"/>
  <c r="C33" i="1"/>
  <c r="C32" i="1"/>
  <c r="C34" i="1"/>
  <c r="C35" i="1"/>
  <c r="I6" i="1"/>
  <c r="H3" i="13"/>
  <c r="H6" i="1"/>
  <c r="G3" i="13"/>
  <c r="F6" i="1"/>
  <c r="E3" i="13"/>
  <c r="G6" i="1"/>
  <c r="F3" i="13"/>
  <c r="C6" i="1"/>
  <c r="D6" i="1"/>
  <c r="C3" i="13"/>
  <c r="E6" i="1"/>
  <c r="D3" i="13"/>
  <c r="E38" i="1"/>
  <c r="I38" i="1"/>
  <c r="I30" i="1"/>
  <c r="D30" i="1"/>
  <c r="F30" i="1"/>
  <c r="F38" i="1"/>
  <c r="F29" i="1"/>
  <c r="E30" i="1"/>
  <c r="I29" i="1"/>
  <c r="G29" i="1"/>
  <c r="C30" i="1"/>
  <c r="G30" i="1"/>
  <c r="H30" i="1"/>
  <c r="D38" i="1"/>
  <c r="G38" i="1"/>
  <c r="H38" i="1"/>
  <c r="C7" i="1"/>
  <c r="B3" i="13"/>
  <c r="D7" i="1"/>
  <c r="H7" i="1"/>
  <c r="N11" i="3"/>
  <c r="N10" i="3"/>
  <c r="E7" i="1"/>
  <c r="N12" i="3"/>
  <c r="N13" i="3"/>
  <c r="P10" i="3"/>
  <c r="Q10" i="3"/>
  <c r="R10" i="3"/>
  <c r="Q12" i="3"/>
  <c r="P12" i="3"/>
  <c r="R12" i="3"/>
  <c r="O12" i="3"/>
  <c r="O13" i="3"/>
  <c r="Q13" i="3"/>
  <c r="R13" i="3"/>
  <c r="P13" i="3"/>
  <c r="G7" i="1"/>
  <c r="D9" i="3"/>
  <c r="Q11" i="3"/>
  <c r="R11" i="3"/>
  <c r="P11" i="3"/>
  <c r="O10" i="3"/>
  <c r="F7" i="1"/>
  <c r="I7" i="1"/>
  <c r="O9" i="3"/>
  <c r="Q9" i="3"/>
  <c r="R9" i="3"/>
  <c r="P9" i="3"/>
  <c r="N9" i="3"/>
</calcChain>
</file>

<file path=xl/sharedStrings.xml><?xml version="1.0" encoding="utf-8"?>
<sst xmlns="http://schemas.openxmlformats.org/spreadsheetml/2006/main" count="967" uniqueCount="325">
  <si>
    <t>市町村名</t>
    <rPh sb="0" eb="3">
      <t>シチョウソン</t>
    </rPh>
    <rPh sb="3" eb="4">
      <t>メイ</t>
    </rPh>
    <phoneticPr fontId="1"/>
  </si>
  <si>
    <t>■　人口の推移</t>
    <rPh sb="2" eb="4">
      <t>ジンコウ</t>
    </rPh>
    <rPh sb="5" eb="7">
      <t>スイイ</t>
    </rPh>
    <phoneticPr fontId="1"/>
  </si>
  <si>
    <t>2015年</t>
    <rPh sb="4" eb="5">
      <t>ネン</t>
    </rPh>
    <phoneticPr fontId="1"/>
  </si>
  <si>
    <t>2020年</t>
    <rPh sb="4" eb="5">
      <t>ネン</t>
    </rPh>
    <phoneticPr fontId="1"/>
  </si>
  <si>
    <t>2025年</t>
    <rPh sb="4" eb="5">
      <t>ネン</t>
    </rPh>
    <phoneticPr fontId="1"/>
  </si>
  <si>
    <t>2030年</t>
    <rPh sb="4" eb="5">
      <t>ネン</t>
    </rPh>
    <phoneticPr fontId="1"/>
  </si>
  <si>
    <t>2035年</t>
    <rPh sb="4" eb="5">
      <t>ネン</t>
    </rPh>
    <phoneticPr fontId="1"/>
  </si>
  <si>
    <t>2040年</t>
    <rPh sb="4" eb="5">
      <t>ネン</t>
    </rPh>
    <phoneticPr fontId="1"/>
  </si>
  <si>
    <t>2045年</t>
    <rPh sb="4" eb="5">
      <t>ネン</t>
    </rPh>
    <phoneticPr fontId="1"/>
  </si>
  <si>
    <t>総人口</t>
    <rPh sb="0" eb="3">
      <t>ソウジンコウ</t>
    </rPh>
    <phoneticPr fontId="1"/>
  </si>
  <si>
    <t>対2015年比</t>
    <rPh sb="0" eb="1">
      <t>タイ</t>
    </rPh>
    <rPh sb="5" eb="6">
      <t>ネン</t>
    </rPh>
    <rPh sb="6" eb="7">
      <t>ヒ</t>
    </rPh>
    <phoneticPr fontId="1"/>
  </si>
  <si>
    <t>グラフ用参考</t>
    <rPh sb="3" eb="4">
      <t>ヨウ</t>
    </rPh>
    <rPh sb="4" eb="6">
      <t>サンコウ</t>
    </rPh>
    <phoneticPr fontId="1"/>
  </si>
  <si>
    <t>■　年齢別人口の推移</t>
    <rPh sb="2" eb="4">
      <t>ネンレイ</t>
    </rPh>
    <rPh sb="4" eb="5">
      <t>ベツ</t>
    </rPh>
    <rPh sb="5" eb="7">
      <t>ジンコウ</t>
    </rPh>
    <rPh sb="8" eb="10">
      <t>スイイ</t>
    </rPh>
    <phoneticPr fontId="1"/>
  </si>
  <si>
    <t>総数</t>
    <rPh sb="0" eb="2">
      <t>ソウスウ</t>
    </rPh>
    <phoneticPr fontId="1"/>
  </si>
  <si>
    <t>0-19歳</t>
    <rPh sb="4" eb="5">
      <t>サイ</t>
    </rPh>
    <phoneticPr fontId="1"/>
  </si>
  <si>
    <t>20-64歳</t>
    <rPh sb="5" eb="6">
      <t>サイ</t>
    </rPh>
    <phoneticPr fontId="1"/>
  </si>
  <si>
    <t>65-74歳</t>
    <rPh sb="5" eb="6">
      <t>サイ</t>
    </rPh>
    <phoneticPr fontId="1"/>
  </si>
  <si>
    <t>75-84歳</t>
    <rPh sb="5" eb="6">
      <t>サイ</t>
    </rPh>
    <phoneticPr fontId="1"/>
  </si>
  <si>
    <t>85歳以上</t>
    <rPh sb="2" eb="3">
      <t>サイ</t>
    </rPh>
    <rPh sb="3" eb="5">
      <t>イジョウ</t>
    </rPh>
    <phoneticPr fontId="1"/>
  </si>
  <si>
    <t>男性</t>
    <rPh sb="0" eb="2">
      <t>ダンセイ</t>
    </rPh>
    <phoneticPr fontId="1"/>
  </si>
  <si>
    <t>女性</t>
    <rPh sb="0" eb="2">
      <t>ジョセイ</t>
    </rPh>
    <phoneticPr fontId="1"/>
  </si>
  <si>
    <t>■　年齢別人口割合の推移</t>
    <rPh sb="2" eb="4">
      <t>ネンレイ</t>
    </rPh>
    <rPh sb="4" eb="5">
      <t>ベツ</t>
    </rPh>
    <rPh sb="5" eb="7">
      <t>ジンコウ</t>
    </rPh>
    <rPh sb="7" eb="9">
      <t>ワリアイ</t>
    </rPh>
    <rPh sb="10" eb="12">
      <t>スイイ</t>
    </rPh>
    <phoneticPr fontId="1"/>
  </si>
  <si>
    <t>20-64歳人口割合</t>
    <rPh sb="5" eb="6">
      <t>サイ</t>
    </rPh>
    <rPh sb="6" eb="8">
      <t>ジンコウ</t>
    </rPh>
    <rPh sb="8" eb="10">
      <t>ワリアイ</t>
    </rPh>
    <phoneticPr fontId="1"/>
  </si>
  <si>
    <t>65歳以上人口割合</t>
    <rPh sb="2" eb="3">
      <t>サイ</t>
    </rPh>
    <rPh sb="3" eb="5">
      <t>イジョウ</t>
    </rPh>
    <rPh sb="5" eb="7">
      <t>ジンコウ</t>
    </rPh>
    <rPh sb="7" eb="9">
      <t>ワリアイ</t>
    </rPh>
    <phoneticPr fontId="1"/>
  </si>
  <si>
    <t>年齢別割合</t>
    <rPh sb="0" eb="2">
      <t>ネンレイ</t>
    </rPh>
    <rPh sb="2" eb="3">
      <t>ベツ</t>
    </rPh>
    <rPh sb="3" eb="5">
      <t>ワリアイ</t>
    </rPh>
    <phoneticPr fontId="1"/>
  </si>
  <si>
    <t xml:space="preserve"> 65歳以上人口を１とした場合の20-64歳人口</t>
    <rPh sb="13" eb="15">
      <t>バアイ</t>
    </rPh>
    <phoneticPr fontId="1"/>
  </si>
  <si>
    <t>■世帯数の推移（粗い推計）</t>
    <rPh sb="1" eb="3">
      <t>セタイ</t>
    </rPh>
    <rPh sb="3" eb="4">
      <t>スウ</t>
    </rPh>
    <rPh sb="5" eb="7">
      <t>スイイ</t>
    </rPh>
    <rPh sb="8" eb="9">
      <t>アラ</t>
    </rPh>
    <rPh sb="10" eb="12">
      <t>スイケイ</t>
    </rPh>
    <phoneticPr fontId="1"/>
  </si>
  <si>
    <t>総世帯数</t>
    <rPh sb="0" eb="1">
      <t>ソウ</t>
    </rPh>
    <rPh sb="1" eb="4">
      <t>セタイスウ</t>
    </rPh>
    <phoneticPr fontId="1"/>
  </si>
  <si>
    <t>■世帯類型別世帯数の推移（粗い推計）</t>
    <rPh sb="1" eb="3">
      <t>セタイ</t>
    </rPh>
    <rPh sb="3" eb="5">
      <t>ルイケイ</t>
    </rPh>
    <rPh sb="5" eb="6">
      <t>ベツ</t>
    </rPh>
    <rPh sb="6" eb="9">
      <t>セタイスウ</t>
    </rPh>
    <rPh sb="10" eb="12">
      <t>スイイ</t>
    </rPh>
    <rPh sb="13" eb="14">
      <t>アラ</t>
    </rPh>
    <rPh sb="15" eb="17">
      <t>スイケイ</t>
    </rPh>
    <phoneticPr fontId="1"/>
  </si>
  <si>
    <t>世帯総数</t>
    <rPh sb="0" eb="2">
      <t>セタイ</t>
    </rPh>
    <rPh sb="2" eb="4">
      <t>ソウスウ</t>
    </rPh>
    <phoneticPr fontId="1"/>
  </si>
  <si>
    <t>単独世帯</t>
    <rPh sb="0" eb="2">
      <t>タンドク</t>
    </rPh>
    <rPh sb="2" eb="4">
      <t>セタイ</t>
    </rPh>
    <phoneticPr fontId="1"/>
  </si>
  <si>
    <t>うち男性単独世帯</t>
    <rPh sb="2" eb="4">
      <t>ダンセイ</t>
    </rPh>
    <rPh sb="4" eb="6">
      <t>タンドク</t>
    </rPh>
    <rPh sb="6" eb="8">
      <t>セタイ</t>
    </rPh>
    <phoneticPr fontId="1"/>
  </si>
  <si>
    <t>うち女性単独世帯</t>
    <rPh sb="2" eb="4">
      <t>ジョセイ</t>
    </rPh>
    <rPh sb="4" eb="6">
      <t>タンドク</t>
    </rPh>
    <rPh sb="6" eb="8">
      <t>セタイ</t>
    </rPh>
    <phoneticPr fontId="1"/>
  </si>
  <si>
    <t>夫婦のみの世帯</t>
    <rPh sb="0" eb="2">
      <t>フウフ</t>
    </rPh>
    <rPh sb="5" eb="7">
      <t>セタイ</t>
    </rPh>
    <phoneticPr fontId="1"/>
  </si>
  <si>
    <t>夫婦と子から成る世帯</t>
    <rPh sb="0" eb="2">
      <t>フウフ</t>
    </rPh>
    <rPh sb="3" eb="4">
      <t>コ</t>
    </rPh>
    <rPh sb="6" eb="7">
      <t>ナ</t>
    </rPh>
    <rPh sb="8" eb="10">
      <t>セタイ</t>
    </rPh>
    <phoneticPr fontId="1"/>
  </si>
  <si>
    <t>ひとり親と子から成る世帯</t>
    <rPh sb="3" eb="4">
      <t>オヤ</t>
    </rPh>
    <rPh sb="5" eb="6">
      <t>コ</t>
    </rPh>
    <rPh sb="8" eb="9">
      <t>ナ</t>
    </rPh>
    <rPh sb="10" eb="12">
      <t>セタイ</t>
    </rPh>
    <phoneticPr fontId="1"/>
  </si>
  <si>
    <t>その他の一般世帯</t>
    <rPh sb="2" eb="3">
      <t>タ</t>
    </rPh>
    <rPh sb="4" eb="6">
      <t>イッパン</t>
    </rPh>
    <rPh sb="6" eb="8">
      <t>セタイ</t>
    </rPh>
    <phoneticPr fontId="1"/>
  </si>
  <si>
    <t>2015年</t>
  </si>
  <si>
    <t>2020年</t>
  </si>
  <si>
    <t>2025年</t>
  </si>
  <si>
    <t>2030年</t>
  </si>
  <si>
    <t>2035年</t>
  </si>
  <si>
    <t>2040年</t>
  </si>
  <si>
    <t>■世帯主の年齢別・世帯類型別世帯数の推移（粗い推計）</t>
    <rPh sb="1" eb="4">
      <t>セタイヌシ</t>
    </rPh>
    <rPh sb="5" eb="7">
      <t>ネンレイ</t>
    </rPh>
    <rPh sb="7" eb="8">
      <t>ベツ</t>
    </rPh>
    <rPh sb="9" eb="11">
      <t>セタイ</t>
    </rPh>
    <rPh sb="11" eb="13">
      <t>ルイケイ</t>
    </rPh>
    <rPh sb="13" eb="14">
      <t>ベツ</t>
    </rPh>
    <rPh sb="14" eb="17">
      <t>セタイスウ</t>
    </rPh>
    <rPh sb="18" eb="20">
      <t>スイイ</t>
    </rPh>
    <rPh sb="21" eb="22">
      <t>アラ</t>
    </rPh>
    <rPh sb="23" eb="25">
      <t>スイケイ</t>
    </rPh>
    <phoneticPr fontId="1"/>
  </si>
  <si>
    <t>合計</t>
    <rPh sb="0" eb="2">
      <t>ゴウケイ</t>
    </rPh>
    <phoneticPr fontId="1"/>
  </si>
  <si>
    <t>65歳未満</t>
    <rPh sb="2" eb="3">
      <t>サイ</t>
    </rPh>
    <rPh sb="3" eb="5">
      <t>ミマン</t>
    </rPh>
    <phoneticPr fontId="1"/>
  </si>
  <si>
    <t>65歳以上</t>
    <rPh sb="2" eb="5">
      <t>サイイジョウ</t>
    </rPh>
    <phoneticPr fontId="1"/>
  </si>
  <si>
    <t>世帯主が65歳以上の世帯</t>
    <rPh sb="0" eb="3">
      <t>セタイヌシ</t>
    </rPh>
    <rPh sb="6" eb="7">
      <t>サイ</t>
    </rPh>
    <rPh sb="7" eb="9">
      <t>イジョウ</t>
    </rPh>
    <rPh sb="10" eb="12">
      <t>セタイ</t>
    </rPh>
    <phoneticPr fontId="1"/>
  </si>
  <si>
    <t>男性単独世帯</t>
    <rPh sb="0" eb="2">
      <t>ダンセイ</t>
    </rPh>
    <rPh sb="2" eb="4">
      <t>タンドク</t>
    </rPh>
    <rPh sb="4" eb="6">
      <t>セタイ</t>
    </rPh>
    <phoneticPr fontId="1"/>
  </si>
  <si>
    <t>女性単独世帯</t>
    <rPh sb="0" eb="2">
      <t>ジョセイ</t>
    </rPh>
    <rPh sb="2" eb="4">
      <t>タンドク</t>
    </rPh>
    <rPh sb="4" eb="6">
      <t>セタイ</t>
    </rPh>
    <phoneticPr fontId="1"/>
  </si>
  <si>
    <t>高齢単独世帯の年齢構成の推移</t>
    <rPh sb="0" eb="2">
      <t>コウレイ</t>
    </rPh>
    <rPh sb="2" eb="4">
      <t>タンドク</t>
    </rPh>
    <rPh sb="4" eb="6">
      <t>セタイ</t>
    </rPh>
    <rPh sb="7" eb="9">
      <t>ネンレイ</t>
    </rPh>
    <rPh sb="9" eb="11">
      <t>コウセイ</t>
    </rPh>
    <rPh sb="12" eb="14">
      <t>スイイ</t>
    </rPh>
    <phoneticPr fontId="1"/>
  </si>
  <si>
    <t>65ｰ74歳</t>
    <rPh sb="5" eb="6">
      <t>サイ</t>
    </rPh>
    <phoneticPr fontId="1"/>
  </si>
  <si>
    <t>75ｰ84歳</t>
    <rPh sb="5" eb="6">
      <t>サイ</t>
    </rPh>
    <phoneticPr fontId="1"/>
  </si>
  <si>
    <t>■世帯類型別世帯数の推移</t>
    <rPh sb="1" eb="3">
      <t>セタイ</t>
    </rPh>
    <rPh sb="3" eb="5">
      <t>ルイケイ</t>
    </rPh>
    <rPh sb="5" eb="6">
      <t>ベツ</t>
    </rPh>
    <rPh sb="6" eb="9">
      <t>セタイスウ</t>
    </rPh>
    <rPh sb="10" eb="12">
      <t>スイイ</t>
    </rPh>
    <phoneticPr fontId="1"/>
  </si>
  <si>
    <t>■　世帯類型別割合の推移</t>
    <rPh sb="2" eb="4">
      <t>セタイ</t>
    </rPh>
    <rPh sb="4" eb="6">
      <t>ルイケイ</t>
    </rPh>
    <rPh sb="6" eb="7">
      <t>ベツ</t>
    </rPh>
    <rPh sb="7" eb="9">
      <t>ワリアイ</t>
    </rPh>
    <rPh sb="10" eb="12">
      <t>スイイ</t>
    </rPh>
    <phoneticPr fontId="1"/>
  </si>
  <si>
    <t>■ 世帯主65歳以上の単独世帯・夫婦のみ世帯数の推移</t>
    <rPh sb="2" eb="5">
      <t>セタイヌシ</t>
    </rPh>
    <rPh sb="7" eb="8">
      <t>サイ</t>
    </rPh>
    <rPh sb="8" eb="10">
      <t>イジョウ</t>
    </rPh>
    <rPh sb="11" eb="13">
      <t>タンドク</t>
    </rPh>
    <rPh sb="13" eb="15">
      <t>セタイ</t>
    </rPh>
    <rPh sb="16" eb="18">
      <t>フウフ</t>
    </rPh>
    <rPh sb="20" eb="22">
      <t>セタイ</t>
    </rPh>
    <rPh sb="22" eb="23">
      <t>スウ</t>
    </rPh>
    <rPh sb="24" eb="26">
      <t>スイイ</t>
    </rPh>
    <phoneticPr fontId="1"/>
  </si>
  <si>
    <t>■　高齢単独世帯における年齢構成の推移</t>
    <rPh sb="2" eb="4">
      <t>コウレイ</t>
    </rPh>
    <rPh sb="4" eb="6">
      <t>タンドク</t>
    </rPh>
    <rPh sb="6" eb="8">
      <t>セタイ</t>
    </rPh>
    <rPh sb="12" eb="14">
      <t>ネンレイ</t>
    </rPh>
    <rPh sb="14" eb="16">
      <t>コウセイ</t>
    </rPh>
    <rPh sb="17" eb="19">
      <t>スイイ</t>
    </rPh>
    <phoneticPr fontId="1"/>
  </si>
  <si>
    <t>■生活の支えが必要と思われる高齢者世帯の世帯数の粗い推計</t>
    <rPh sb="1" eb="3">
      <t>セイカツ</t>
    </rPh>
    <rPh sb="4" eb="5">
      <t>ササ</t>
    </rPh>
    <rPh sb="7" eb="9">
      <t>ヒツヨウ</t>
    </rPh>
    <rPh sb="10" eb="11">
      <t>オモ</t>
    </rPh>
    <rPh sb="14" eb="17">
      <t>コウレイシャ</t>
    </rPh>
    <rPh sb="17" eb="19">
      <t>セタイ</t>
    </rPh>
    <rPh sb="20" eb="23">
      <t>セタイスウ</t>
    </rPh>
    <rPh sb="24" eb="25">
      <t>アラ</t>
    </rPh>
    <rPh sb="26" eb="28">
      <t>スイケイ</t>
    </rPh>
    <phoneticPr fontId="1"/>
  </si>
  <si>
    <t>【グラフ用データ】</t>
    <rPh sb="4" eb="5">
      <t>ヨウ</t>
    </rPh>
    <phoneticPr fontId="1"/>
  </si>
  <si>
    <t>・会話の頻度が少なく、見守りや居場所、参加の場が必要と思われる世帯</t>
    <rPh sb="1" eb="3">
      <t>カイワ</t>
    </rPh>
    <rPh sb="4" eb="6">
      <t>ヒンド</t>
    </rPh>
    <rPh sb="7" eb="8">
      <t>スク</t>
    </rPh>
    <rPh sb="11" eb="13">
      <t>ミマモ</t>
    </rPh>
    <rPh sb="15" eb="18">
      <t>イバショ</t>
    </rPh>
    <rPh sb="19" eb="21">
      <t>サンカ</t>
    </rPh>
    <rPh sb="22" eb="23">
      <t>バ</t>
    </rPh>
    <rPh sb="24" eb="26">
      <t>ヒツヨウ</t>
    </rPh>
    <rPh sb="27" eb="28">
      <t>オモ</t>
    </rPh>
    <rPh sb="31" eb="33">
      <t>セタイ</t>
    </rPh>
    <phoneticPr fontId="1"/>
  </si>
  <si>
    <t>高齢男性単独世帯</t>
    <rPh sb="0" eb="2">
      <t>コウレイ</t>
    </rPh>
    <rPh sb="2" eb="4">
      <t>ダンセイ</t>
    </rPh>
    <rPh sb="4" eb="6">
      <t>タンドク</t>
    </rPh>
    <rPh sb="6" eb="8">
      <t>セタイ</t>
    </rPh>
    <phoneticPr fontId="1"/>
  </si>
  <si>
    <t>高齢女性単身世帯</t>
    <rPh sb="0" eb="2">
      <t>コウレイ</t>
    </rPh>
    <rPh sb="2" eb="4">
      <t>ジョセイ</t>
    </rPh>
    <rPh sb="4" eb="6">
      <t>タンシン</t>
    </rPh>
    <rPh sb="6" eb="8">
      <t>セタイ</t>
    </rPh>
    <phoneticPr fontId="1"/>
  </si>
  <si>
    <t>夫婦のみ世帯</t>
    <rPh sb="0" eb="2">
      <t>フウフ</t>
    </rPh>
    <rPh sb="4" eb="6">
      <t>セタイ</t>
    </rPh>
    <phoneticPr fontId="1"/>
  </si>
  <si>
    <t>全世帯に占める割合</t>
    <rPh sb="0" eb="3">
      <t>ゼンセタイ</t>
    </rPh>
    <rPh sb="4" eb="5">
      <t>シ</t>
    </rPh>
    <rPh sb="7" eb="9">
      <t>ワリアイ</t>
    </rPh>
    <phoneticPr fontId="1"/>
  </si>
  <si>
    <t>&lt;全世帯に占める割合＞</t>
    <rPh sb="1" eb="4">
      <t>ゼンセタイ</t>
    </rPh>
    <rPh sb="5" eb="6">
      <t>シ</t>
    </rPh>
    <rPh sb="8" eb="10">
      <t>ワリアイ</t>
    </rPh>
    <phoneticPr fontId="1"/>
  </si>
  <si>
    <t>2015年度</t>
    <rPh sb="4" eb="6">
      <t>ネンド</t>
    </rPh>
    <phoneticPr fontId="1"/>
  </si>
  <si>
    <t>2040年度</t>
    <rPh sb="4" eb="6">
      <t>ネンド</t>
    </rPh>
    <phoneticPr fontId="1"/>
  </si>
  <si>
    <t>・日常生活のちょっとした手助けが得られず、ときに生活支援等が必要と思われる世帯</t>
    <phoneticPr fontId="1"/>
  </si>
  <si>
    <t>・介護や看病で頼れる人がおらず、いざというときに支援者が必要と思われる世帯</t>
    <phoneticPr fontId="1"/>
  </si>
  <si>
    <t>■ひとり親と子から成る世帯において日常の手助けが得られない世帯の粗い推計</t>
    <rPh sb="4" eb="5">
      <t>オヤ</t>
    </rPh>
    <rPh sb="6" eb="7">
      <t>コ</t>
    </rPh>
    <rPh sb="9" eb="10">
      <t>ナ</t>
    </rPh>
    <rPh sb="11" eb="13">
      <t>セタイ</t>
    </rPh>
    <rPh sb="17" eb="19">
      <t>ニチジョウ</t>
    </rPh>
    <rPh sb="20" eb="21">
      <t>テ</t>
    </rPh>
    <rPh sb="21" eb="22">
      <t>ダス</t>
    </rPh>
    <rPh sb="24" eb="25">
      <t>エ</t>
    </rPh>
    <rPh sb="29" eb="31">
      <t>セタイ</t>
    </rPh>
    <rPh sb="32" eb="33">
      <t>アラ</t>
    </rPh>
    <rPh sb="34" eb="36">
      <t>スイケイ</t>
    </rPh>
    <phoneticPr fontId="1"/>
  </si>
  <si>
    <t>　　ひとり親と子からなる世帯の16.5％</t>
    <rPh sb="5" eb="6">
      <t>オヤ</t>
    </rPh>
    <rPh sb="7" eb="8">
      <t>コ</t>
    </rPh>
    <rPh sb="12" eb="14">
      <t>セタイ</t>
    </rPh>
    <phoneticPr fontId="1"/>
  </si>
  <si>
    <t>2015年：</t>
    <rPh sb="4" eb="5">
      <t>ネン</t>
    </rPh>
    <phoneticPr fontId="1"/>
  </si>
  <si>
    <t>世帯　</t>
    <rPh sb="0" eb="2">
      <t>セタイ</t>
    </rPh>
    <phoneticPr fontId="1"/>
  </si>
  <si>
    <t>2040年：</t>
    <rPh sb="4" eb="5">
      <t>ネン</t>
    </rPh>
    <phoneticPr fontId="1"/>
  </si>
  <si>
    <t>■ひきこもりの状態にある者（推計）：2020年</t>
    <rPh sb="7" eb="9">
      <t>ジョウタイ</t>
    </rPh>
    <rPh sb="12" eb="13">
      <t>シャ</t>
    </rPh>
    <rPh sb="14" eb="16">
      <t>スイケイ</t>
    </rPh>
    <rPh sb="22" eb="23">
      <t>ネン</t>
    </rPh>
    <phoneticPr fontId="1"/>
  </si>
  <si>
    <t>・15歳～39歳の1.57% :</t>
    <rPh sb="3" eb="4">
      <t>サイ</t>
    </rPh>
    <rPh sb="7" eb="8">
      <t>サイ</t>
    </rPh>
    <phoneticPr fontId="1"/>
  </si>
  <si>
    <t>人</t>
    <rPh sb="0" eb="1">
      <t>ニン</t>
    </rPh>
    <phoneticPr fontId="1"/>
  </si>
  <si>
    <t>・40歳～64歳の1.45％:</t>
    <rPh sb="3" eb="4">
      <t>サイ</t>
    </rPh>
    <rPh sb="7" eb="8">
      <t>サイ</t>
    </rPh>
    <phoneticPr fontId="1"/>
  </si>
  <si>
    <t>将来の地域別男女5歳階級別人口（各年10月1日時点の推計人口：2015年は国勢調査による実績値）</t>
  </si>
  <si>
    <t>市などの別：a＝都道府県，0＝政令市の区（東京23区を含む），1＝政令市，2＝その他の市，3＝町村</t>
  </si>
  <si>
    <t>コード</t>
  </si>
  <si>
    <t>市などの別</t>
  </si>
  <si>
    <t>都道府県</t>
  </si>
  <si>
    <t>市区町村</t>
  </si>
  <si>
    <t>年</t>
  </si>
  <si>
    <t>総数</t>
  </si>
  <si>
    <t>男</t>
  </si>
  <si>
    <t>女</t>
  </si>
  <si>
    <t>総人口指数（2015年＝100）</t>
  </si>
  <si>
    <t>0～14歳</t>
  </si>
  <si>
    <t>15～64歳</t>
  </si>
  <si>
    <t>65歳以上</t>
  </si>
  <si>
    <t>0～14歳割合</t>
  </si>
  <si>
    <t>15～64歳割合</t>
  </si>
  <si>
    <t>65歳以上割合</t>
  </si>
  <si>
    <t>0～4歳</t>
  </si>
  <si>
    <t>5～9歳</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</si>
  <si>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</si>
  <si>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</si>
  <si>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</si>
  <si>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</si>
  <si>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</si>
  <si>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</si>
  <si>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</si>
  <si>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</si>
  <si>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</si>
  <si>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</si>
  <si>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</si>
  <si>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</si>
  <si>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</si>
  <si>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</si>
  <si>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</si>
  <si>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</si>
  <si>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</si>
  <si>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65～74歳</t>
  </si>
  <si>
    <t>75歳以上</t>
  </si>
  <si>
    <t>65～74歳割合</t>
  </si>
  <si>
    <t>75歳以上割合</t>
  </si>
  <si>
    <t>○○県</t>
    <phoneticPr fontId="1"/>
  </si>
  <si>
    <t>■■市</t>
    <phoneticPr fontId="1"/>
  </si>
  <si>
    <t>2045年</t>
  </si>
  <si>
    <t>国立社会保障・人口問題研究所　『日本の地域別将来推計人口（平成30（2018）年推計）』</t>
    <rPh sb="0" eb="2">
      <t>コクリツ</t>
    </rPh>
    <rPh sb="2" eb="4">
      <t>シャカイ</t>
    </rPh>
    <rPh sb="4" eb="6">
      <t>ホショウ</t>
    </rPh>
    <rPh sb="7" eb="9">
      <t>ジンコウ</t>
    </rPh>
    <rPh sb="9" eb="11">
      <t>モンダイ</t>
    </rPh>
    <rPh sb="11" eb="14">
      <t>ケンキュウジョ</t>
    </rPh>
    <phoneticPr fontId="1"/>
  </si>
  <si>
    <t>・都道府県別、市区町村別の男女・年齢（5歳）階級別の推計結果　よりコピー＆ペースト</t>
    <phoneticPr fontId="1"/>
  </si>
  <si>
    <t>https://www.ipss.go.jp/pp-shicyoson/j/shicyoson18/t-page.asp</t>
    <phoneticPr fontId="1"/>
  </si>
  <si>
    <t>99○○県</t>
    <phoneticPr fontId="1"/>
  </si>
  <si>
    <t>年齢</t>
  </si>
  <si>
    <t>単独世帯</t>
  </si>
  <si>
    <t>夫婦のみの世帯</t>
  </si>
  <si>
    <t>夫婦と子から成る世帯</t>
  </si>
  <si>
    <t>ひとり親と子から成る世帯</t>
  </si>
  <si>
    <t>その他の一般世帯</t>
  </si>
  <si>
    <t>20歳未満</t>
  </si>
  <si>
    <t>20-24歳</t>
  </si>
  <si>
    <t>国立社会保障・人口問題研究所『日本の世帯数の将来推計』</t>
    <rPh sb="0" eb="6">
      <t>コクリツシャカイホショウ</t>
    </rPh>
    <rPh sb="7" eb="9">
      <t>ジンコウ</t>
    </rPh>
    <rPh sb="9" eb="11">
      <t>モンダイ</t>
    </rPh>
    <rPh sb="11" eb="14">
      <t>ケンキュウジョ</t>
    </rPh>
    <rPh sb="15" eb="17">
      <t>ニホン</t>
    </rPh>
    <rPh sb="18" eb="21">
      <t>セタイスウ</t>
    </rPh>
    <rPh sb="22" eb="24">
      <t>ショウライ</t>
    </rPh>
    <rPh sb="24" eb="26">
      <t>スイケイ</t>
    </rPh>
    <phoneticPr fontId="1"/>
  </si>
  <si>
    <t>25-29歳</t>
  </si>
  <si>
    <t>4. 世帯主の男女・年齢5歳階級別・家族類型別世帯主率よりコピー＆ペースト</t>
    <phoneticPr fontId="1"/>
  </si>
  <si>
    <t>30-34歳</t>
  </si>
  <si>
    <t xml:space="preserve">　（推計に用いた仮定値のExcelファイル） </t>
  </si>
  <si>
    <t>35-39歳</t>
  </si>
  <si>
    <t>https://www.ipss.go.jp/pp-pjsetai/j/hpjp2019/t-page.asp</t>
  </si>
  <si>
    <t>40-44歳</t>
  </si>
  <si>
    <t>（注）世帯主率は都道府県単位しか推計値が算定されていないため、
市町村単位での推計にあたっては、所在する都道府県の世帯主率を代用</t>
    <rPh sb="1" eb="2">
      <t>チュウ</t>
    </rPh>
    <rPh sb="3" eb="6">
      <t>セタイヌシ</t>
    </rPh>
    <rPh sb="6" eb="7">
      <t>リツ</t>
    </rPh>
    <rPh sb="8" eb="12">
      <t>トドウフケン</t>
    </rPh>
    <rPh sb="12" eb="14">
      <t>タンイ</t>
    </rPh>
    <rPh sb="16" eb="18">
      <t>スイケイ</t>
    </rPh>
    <rPh sb="18" eb="19">
      <t>チ</t>
    </rPh>
    <rPh sb="20" eb="22">
      <t>サンテイ</t>
    </rPh>
    <rPh sb="32" eb="35">
      <t>シチョウソン</t>
    </rPh>
    <rPh sb="35" eb="37">
      <t>タンイ</t>
    </rPh>
    <rPh sb="39" eb="41">
      <t>スイケイ</t>
    </rPh>
    <rPh sb="48" eb="50">
      <t>ショザイ</t>
    </rPh>
    <rPh sb="52" eb="56">
      <t>トドウフケン</t>
    </rPh>
    <rPh sb="57" eb="60">
      <t>セタイヌシ</t>
    </rPh>
    <rPh sb="60" eb="61">
      <t>リツ</t>
    </rPh>
    <rPh sb="62" eb="64">
      <t>ダイヨウ</t>
    </rPh>
    <phoneticPr fontId="1"/>
  </si>
  <si>
    <t>45-49歳</t>
  </si>
  <si>
    <t>50-54歳</t>
  </si>
  <si>
    <t>55-59歳</t>
  </si>
  <si>
    <t>60-64歳</t>
  </si>
  <si>
    <t>65-69歳</t>
  </si>
  <si>
    <t>70-74歳</t>
  </si>
  <si>
    <t>75-79歳</t>
  </si>
  <si>
    <t>80-84歳</t>
  </si>
  <si>
    <t>85歳以上</t>
  </si>
  <si>
    <t>人口総数0～4歳</t>
  </si>
  <si>
    <t>人口総数5～9歳</t>
  </si>
  <si>
    <t>人口総数10～14歳</t>
  </si>
  <si>
    <t>人口総数15～19歳</t>
  </si>
  <si>
    <t>人口総数20～24歳</t>
  </si>
  <si>
    <t>人口総数25～29歳</t>
  </si>
  <si>
    <t>人口総数30～34歳</t>
  </si>
  <si>
    <t>人口総数35～39歳</t>
  </si>
  <si>
    <t>人口総数40～44歳</t>
  </si>
  <si>
    <t>人口総数45～49歳</t>
  </si>
  <si>
    <t>人口総数50～54歳</t>
  </si>
  <si>
    <t>人口総数55～59歳</t>
  </si>
  <si>
    <t>人口総数60～64歳</t>
  </si>
  <si>
    <t>人口総数65～69歳</t>
  </si>
  <si>
    <t>人口総数70～74歳</t>
  </si>
  <si>
    <t>人口総数75～79歳</t>
  </si>
  <si>
    <t>人口総数80～84歳</t>
  </si>
  <si>
    <t>人口総数85～89歳</t>
  </si>
  <si>
    <t>人口総数90歳以上</t>
  </si>
  <si>
    <t>男性人口0～4歳</t>
  </si>
  <si>
    <t>男性人口5～9歳</t>
  </si>
  <si>
    <t>世帯数推計用</t>
    <rPh sb="0" eb="2">
      <t>セタイ</t>
    </rPh>
    <rPh sb="2" eb="3">
      <t>スウ</t>
    </rPh>
    <rPh sb="3" eb="5">
      <t>スイケイ</t>
    </rPh>
    <rPh sb="5" eb="6">
      <t>ヨウ</t>
    </rPh>
    <phoneticPr fontId="1"/>
  </si>
  <si>
    <t>男性人口10～14歳</t>
  </si>
  <si>
    <t>男</t>
    <rPh sb="0" eb="1">
      <t>オトコ</t>
    </rPh>
    <phoneticPr fontId="1"/>
  </si>
  <si>
    <t>男性人口15～19歳</t>
  </si>
  <si>
    <t>男性人口20～24歳</t>
  </si>
  <si>
    <t>男性人口25～29歳</t>
  </si>
  <si>
    <t>男性人口30～34歳</t>
  </si>
  <si>
    <t>男性人口35～39歳</t>
  </si>
  <si>
    <t>男性人口40～44歳</t>
  </si>
  <si>
    <t>男性人口45～49歳</t>
  </si>
  <si>
    <t>男性人口50～54歳</t>
  </si>
  <si>
    <t>男性人口55～59歳</t>
  </si>
  <si>
    <t>男性人口60～64歳</t>
  </si>
  <si>
    <t>男性人口65～69歳</t>
  </si>
  <si>
    <t>男性人口70～74歳</t>
  </si>
  <si>
    <t>男性人口75～79歳</t>
  </si>
  <si>
    <t>男性人口80～84歳</t>
  </si>
  <si>
    <t>男性人口85～89歳</t>
  </si>
  <si>
    <t>男性人口90歳以上</t>
  </si>
  <si>
    <t>女性人口0～4歳</t>
  </si>
  <si>
    <t>女性人口5～9歳</t>
  </si>
  <si>
    <t>女性人口10～14歳</t>
  </si>
  <si>
    <t>女</t>
    <rPh sb="0" eb="1">
      <t>オンナ</t>
    </rPh>
    <phoneticPr fontId="1"/>
  </si>
  <si>
    <t>女性人口15～19歳</t>
  </si>
  <si>
    <t>女性人口20～24歳</t>
  </si>
  <si>
    <t>女性人口25～29歳</t>
  </si>
  <si>
    <t>女性人口30～34歳</t>
  </si>
  <si>
    <t>女性人口35～39歳</t>
  </si>
  <si>
    <t>女性人口40～44歳</t>
  </si>
  <si>
    <t>女性人口45～49歳</t>
  </si>
  <si>
    <t>女性人口50～54歳</t>
  </si>
  <si>
    <t>女性人口55～59歳</t>
    <phoneticPr fontId="1"/>
  </si>
  <si>
    <t>女性人口60～64歳</t>
  </si>
  <si>
    <t>女性人口65～69歳</t>
  </si>
  <si>
    <t>女性人口70～74歳</t>
  </si>
  <si>
    <t>女性人口75～79歳</t>
  </si>
  <si>
    <t>女性人口80～84歳</t>
  </si>
  <si>
    <t>女性人口85～89歳</t>
  </si>
  <si>
    <t>女性人口90歳以上</t>
  </si>
  <si>
    <t>男性　単独世帯</t>
  </si>
  <si>
    <t>男性　夫婦のみの世帯</t>
  </si>
  <si>
    <t>男性　夫婦と子から成る世帯</t>
  </si>
  <si>
    <t>男性　ひとり親と子から成る世帯</t>
  </si>
  <si>
    <t>男性　その他の一般世帯</t>
  </si>
  <si>
    <t>女性　単独世帯</t>
  </si>
  <si>
    <t>女性　夫婦のみの世帯</t>
  </si>
  <si>
    <t>女性　夫婦と子から成る世帯</t>
  </si>
  <si>
    <t>女性　ひとり親と子から成る世帯</t>
  </si>
  <si>
    <t>女性　その他の一般世帯</t>
  </si>
  <si>
    <t>夫婦のみの世帯</t>
    <phoneticPr fontId="1"/>
  </si>
  <si>
    <t>夫婦と子から成る世帯</t>
    <phoneticPr fontId="1"/>
  </si>
  <si>
    <t>ひとり親と子から成る世帯</t>
    <phoneticPr fontId="1"/>
  </si>
  <si>
    <t>その他の一般世帯</t>
    <phoneticPr fontId="1"/>
  </si>
  <si>
    <t>*</t>
    <phoneticPr fontId="1"/>
  </si>
  <si>
    <t>2015年　世帯主20歳未満</t>
  </si>
  <si>
    <t>2015年　世帯主20-24歳</t>
  </si>
  <si>
    <t>2015年　世帯主25-29歳</t>
  </si>
  <si>
    <t>2015年　世帯主30-34歳</t>
  </si>
  <si>
    <t>2015年　世帯主35-39歳</t>
  </si>
  <si>
    <t>2015年　世帯主40-44歳</t>
  </si>
  <si>
    <t>2015年　世帯主45-49歳</t>
  </si>
  <si>
    <t>2015年　世帯主50-54歳</t>
  </si>
  <si>
    <t>2015年　世帯主55-59歳</t>
  </si>
  <si>
    <t>2015年　世帯主60-64歳</t>
  </si>
  <si>
    <t>2015年　世帯主65-69歳</t>
  </si>
  <si>
    <t>2015年　世帯主70-74歳</t>
  </si>
  <si>
    <t>2015年　世帯主75-79歳</t>
  </si>
  <si>
    <t>2015年　世帯主80-84歳</t>
  </si>
  <si>
    <t>2015年　世帯主85歳以上</t>
  </si>
  <si>
    <t>2020年　世帯主20歳未満</t>
  </si>
  <si>
    <t>2020年　世帯主20-24歳</t>
  </si>
  <si>
    <t>2020年　世帯主25-29歳</t>
  </si>
  <si>
    <t>2020年　世帯主30-34歳</t>
  </si>
  <si>
    <t>2020年　世帯主35-39歳</t>
  </si>
  <si>
    <t>2020年　世帯主40-44歳</t>
  </si>
  <si>
    <t>2020年　世帯主45-49歳</t>
  </si>
  <si>
    <t>2020年　世帯主50-54歳</t>
  </si>
  <si>
    <t>2020年　世帯主55-59歳</t>
  </si>
  <si>
    <t>2020年　世帯主60-64歳</t>
  </si>
  <si>
    <t>2020年　世帯主65-69歳</t>
  </si>
  <si>
    <t>2020年　世帯主70-74歳</t>
  </si>
  <si>
    <t>2020年　世帯主75-79歳</t>
  </si>
  <si>
    <t>2020年　世帯主80-84歳</t>
  </si>
  <si>
    <t>2020年　世帯主85歳以上</t>
  </si>
  <si>
    <t>2025年　世帯主20歳未満</t>
  </si>
  <si>
    <t>2025年　世帯主20-24歳</t>
  </si>
  <si>
    <t>2025年　世帯主25-29歳</t>
  </si>
  <si>
    <t>2025年　世帯主30-34歳</t>
  </si>
  <si>
    <t>2025年　世帯主35-39歳</t>
  </si>
  <si>
    <t>2025年　世帯主40-44歳</t>
  </si>
  <si>
    <t>2025年　世帯主45-49歳</t>
  </si>
  <si>
    <t>2025年　世帯主50-54歳</t>
  </si>
  <si>
    <t>2025年　世帯主55-59歳</t>
  </si>
  <si>
    <t>2025年　世帯主60-64歳</t>
  </si>
  <si>
    <t>2025年　世帯主65-69歳</t>
  </si>
  <si>
    <t>2025年　世帯主70-74歳</t>
  </si>
  <si>
    <t>2025年　世帯主75-79歳</t>
  </si>
  <si>
    <t>2025年　世帯主80-84歳</t>
  </si>
  <si>
    <t>2025年　世帯主85歳以上</t>
  </si>
  <si>
    <t>2030年　世帯主20歳未満</t>
  </si>
  <si>
    <t>2030年　世帯主20-24歳</t>
  </si>
  <si>
    <t>2030年　世帯主25-29歳</t>
  </si>
  <si>
    <t>2030年　世帯主30-34歳</t>
  </si>
  <si>
    <t>2030年　世帯主35-39歳</t>
  </si>
  <si>
    <t>2030年　世帯主40-44歳</t>
  </si>
  <si>
    <t>2030年　世帯主45-49歳</t>
  </si>
  <si>
    <t>2030年　世帯主50-54歳</t>
  </si>
  <si>
    <t>2030年　世帯主55-59歳</t>
  </si>
  <si>
    <t>2030年　世帯主60-64歳</t>
  </si>
  <si>
    <t>2030年　世帯主65-69歳</t>
  </si>
  <si>
    <t>2030年　世帯主70-74歳</t>
  </si>
  <si>
    <t>2030年　世帯主75-79歳</t>
  </si>
  <si>
    <t>2030年　世帯主80-84歳</t>
  </si>
  <si>
    <t>2030年　世帯主85歳以上</t>
  </si>
  <si>
    <t>2035年　世帯主20歳未満</t>
  </si>
  <si>
    <t>2035年　世帯主20-24歳</t>
  </si>
  <si>
    <t>2035年　世帯主25-29歳</t>
  </si>
  <si>
    <t>2035年　世帯主30-34歳</t>
  </si>
  <si>
    <t>2035年　世帯主35-39歳</t>
  </si>
  <si>
    <t>2035年　世帯主40-44歳</t>
  </si>
  <si>
    <t>2035年　世帯主45-49歳</t>
  </si>
  <si>
    <t>2035年　世帯主50-54歳</t>
  </si>
  <si>
    <t>2035年　世帯主55-59歳</t>
  </si>
  <si>
    <t>2035年　世帯主60-64歳</t>
  </si>
  <si>
    <t>2035年　世帯主65-69歳</t>
  </si>
  <si>
    <t>2035年　世帯主70-74歳</t>
  </si>
  <si>
    <t>2035年　世帯主75-79歳</t>
  </si>
  <si>
    <t>2035年　世帯主80-84歳</t>
  </si>
  <si>
    <t>2035年　世帯主85歳以上</t>
  </si>
  <si>
    <t>2040年　世帯主20歳未満</t>
  </si>
  <si>
    <t>2040年　世帯主20-24歳</t>
  </si>
  <si>
    <t>2040年　世帯主25-29歳</t>
  </si>
  <si>
    <t>2040年　世帯主30-34歳</t>
  </si>
  <si>
    <t>2040年　世帯主35-39歳</t>
  </si>
  <si>
    <t>2040年　世帯主40-44歳</t>
  </si>
  <si>
    <t>2040年　世帯主45-49歳</t>
  </si>
  <si>
    <t>2040年　世帯主50-54歳</t>
  </si>
  <si>
    <t>2040年　世帯主55-59歳</t>
  </si>
  <si>
    <t>2040年　世帯主60-64歳</t>
  </si>
  <si>
    <t>2040年　世帯主65-69歳</t>
  </si>
  <si>
    <t>2040年　世帯主70-74歳</t>
  </si>
  <si>
    <t>2040年　世帯主75-79歳</t>
  </si>
  <si>
    <t>2040年　世帯主80-84歳</t>
  </si>
  <si>
    <t>2040年　世帯主85歳以上</t>
  </si>
  <si>
    <t>世帯主65ｰ74歳</t>
    <rPh sb="0" eb="3">
      <t>セタイヌシ</t>
    </rPh>
    <rPh sb="8" eb="9">
      <t>サイ</t>
    </rPh>
    <phoneticPr fontId="1"/>
  </si>
  <si>
    <t>世帯主75ｰ84歳</t>
    <rPh sb="0" eb="3">
      <t>セタイヌシ</t>
    </rPh>
    <rPh sb="8" eb="9">
      <t>サイ</t>
    </rPh>
    <phoneticPr fontId="1"/>
  </si>
  <si>
    <t>世帯主85歳</t>
    <rPh sb="0" eb="3">
      <t>セタイヌシ</t>
    </rPh>
    <rPh sb="5" eb="6">
      <t>サイ</t>
    </rPh>
    <phoneticPr fontId="1"/>
  </si>
  <si>
    <t>65未満</t>
    <rPh sb="2" eb="4">
      <t>ミマン</t>
    </rPh>
    <phoneticPr fontId="1"/>
  </si>
  <si>
    <t>～64</t>
    <phoneticPr fontId="1"/>
  </si>
  <si>
    <t>65以上</t>
    <rPh sb="2" eb="4">
      <t>イジョウ</t>
    </rPh>
    <phoneticPr fontId="1"/>
  </si>
  <si>
    <t>65～</t>
    <phoneticPr fontId="1"/>
  </si>
  <si>
    <t xml:space="preserve"> </t>
    <phoneticPr fontId="1"/>
  </si>
  <si>
    <t>資料4　我がまちの10年後・20年後を考えるワークシート</t>
    <rPh sb="0" eb="2">
      <t>シリョウ</t>
    </rPh>
    <rPh sb="4" eb="5">
      <t>ワ</t>
    </rPh>
    <rPh sb="11" eb="13">
      <t>ネンゴ</t>
    </rPh>
    <rPh sb="16" eb="18">
      <t>ネンゴ</t>
    </rPh>
    <rPh sb="19" eb="20">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</si>
</sst>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9" x14ac:knownFonts="1">
    <font>
      <sz val="11"/>
      <color theme="1"/>
      <name val="メイリオ"/>
      <family val="2"/>
      <charset val="128"/>
      <scheme val="minor"/>
    </font>
    <font>
      <sz val="6"/>
      <name val="メイリオ"/>
      <family val="2"/>
      <charset val="128"/>
      <scheme val="minor"/>
    </font>
    <font>
      <sz val="11"/>
      <color theme="1"/>
      <name val="ＭＳ Ｐゴシック"/>
      <family val="3"/>
      <charset val="128"/>
    </font>
    <font>
      <sz val="11"/>
      <color theme="1"/>
      <name val="メイリオ"/>
      <family val="2"/>
      <charset val="128"/>
      <scheme val="minor"/>
    </font>
    <font>
      <b/>
      <sz val="11"/>
      <color theme="1"/>
      <name val="ＭＳ Ｐゴシック"/>
      <family val="3"/>
      <charset val="128"/>
    </font>
    <font>
      <sz val="11"/>
      <color rgb="FF000000"/>
      <name val="メイリオ"/>
      <family val="3"/>
      <charset val="128"/>
      <scheme val="minor"/>
    </font>
    <font>
      <sz val="11"/>
      <color theme="1"/>
      <name val="メイリオ"/>
      <family val="3"/>
      <charset val="128"/>
      <scheme val="minor"/>
    </font>
    <font>
      <sz val="11"/>
      <color theme="0" tint="-0.14999847407452621"/>
      <name val="メイリオ"/>
      <family val="2"/>
      <charset val="128"/>
      <scheme val="minor"/>
    </font>
    <font>
      <sz val="11"/>
      <color theme="0" tint="-0.14999847407452621"/>
      <name val="メイリオ"/>
      <family val="3"/>
      <charset val="128"/>
      <scheme val="minor"/>
    </font>
    <font>
      <b/>
      <sz val="12"/>
      <color theme="1"/>
      <name val="メイリオ"/>
      <family val="3"/>
      <charset val="128"/>
      <scheme val="minor"/>
    </font>
    <font>
      <b/>
      <sz val="11"/>
      <color theme="1"/>
      <name val="メイリオ"/>
      <family val="3"/>
      <charset val="128"/>
      <scheme val="minor"/>
    </font>
    <font>
      <sz val="12"/>
      <color theme="1"/>
      <name val="メイリオ"/>
      <family val="3"/>
      <charset val="128"/>
      <scheme val="minor"/>
    </font>
    <font>
      <sz val="16"/>
      <color theme="1"/>
      <name val="メイリオ"/>
      <family val="2"/>
      <charset val="128"/>
      <scheme val="minor"/>
    </font>
    <font>
      <u/>
      <sz val="11"/>
      <color theme="10"/>
      <name val="メイリオ"/>
      <family val="2"/>
      <charset val="128"/>
      <scheme val="minor"/>
    </font>
    <font>
      <sz val="9"/>
      <color theme="1"/>
      <name val="メイリオ"/>
      <family val="3"/>
      <charset val="128"/>
      <scheme val="minor"/>
    </font>
    <font>
      <sz val="10"/>
      <color theme="1"/>
      <name val="メイリオ"/>
      <family val="3"/>
      <charset val="128"/>
      <scheme val="minor"/>
    </font>
    <font>
      <sz val="10"/>
      <color theme="1"/>
      <name val="メイリオ"/>
      <family val="2"/>
      <charset val="128"/>
      <scheme val="minor"/>
    </font>
    <font>
      <sz val="11"/>
      <name val="メイリオ"/>
      <family val="2"/>
      <charset val="128"/>
      <scheme val="minor"/>
    </font>
    <font>
      <sz val="11"/>
      <name val="メイリオ"/>
      <family val="3"/>
      <charset val="128"/>
      <scheme val="minor"/>
    </font>
  </fonts>
  <fills count="13">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0" fillId="2" borderId="0" xfId="0" applyFill="1">
      <alignment vertical="center"/>
    </xf>
    <xf numFmtId="0" fontId="2" fillId="3" borderId="1" xfId="0" applyFont="1" applyFill="1" applyBorder="1">
      <alignment vertical="center"/>
    </xf>
    <xf numFmtId="0" fontId="4" fillId="4" borderId="1" xfId="0" applyFont="1" applyFill="1" applyBorder="1" applyAlignment="1">
      <alignment horizontal="center" vertical="center"/>
    </xf>
    <xf numFmtId="38" fontId="0" fillId="0" borderId="1" xfId="0" applyNumberFormat="1" applyBorder="1">
      <alignment vertical="center"/>
    </xf>
    <xf numFmtId="177" fontId="0" fillId="0" borderId="1" xfId="2" applyNumberFormat="1" applyFont="1" applyBorder="1" applyAlignment="1">
      <alignment vertical="center"/>
    </xf>
    <xf numFmtId="38" fontId="0" fillId="0" borderId="1" xfId="1" applyFont="1" applyBorder="1">
      <alignment vertical="center"/>
    </xf>
    <xf numFmtId="0" fontId="0" fillId="3" borderId="1" xfId="0" applyFill="1" applyBorder="1">
      <alignment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38" fontId="0" fillId="0" borderId="0" xfId="1" applyFont="1" applyBorder="1">
      <alignment vertical="center"/>
    </xf>
    <xf numFmtId="0" fontId="0" fillId="0" borderId="0" xfId="0" applyAlignment="1">
      <alignment horizontal="left" vertical="center" wrapText="1"/>
    </xf>
    <xf numFmtId="38" fontId="0" fillId="0" borderId="0" xfId="0" applyNumberFormat="1">
      <alignment vertical="center"/>
    </xf>
    <xf numFmtId="0" fontId="0" fillId="3" borderId="5" xfId="0" applyFill="1" applyBorder="1">
      <alignment vertical="center"/>
    </xf>
    <xf numFmtId="0" fontId="0" fillId="3" borderId="2" xfId="0" applyFill="1" applyBorder="1">
      <alignment vertical="center"/>
    </xf>
    <xf numFmtId="177" fontId="0" fillId="0" borderId="1" xfId="2" applyNumberFormat="1"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0" xfId="0" applyFill="1">
      <alignment vertical="center"/>
    </xf>
    <xf numFmtId="0" fontId="0" fillId="3" borderId="11"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0" borderId="0" xfId="0" applyAlignment="1">
      <alignment vertical="center" wrapText="1"/>
    </xf>
    <xf numFmtId="0" fontId="0" fillId="0" borderId="11" xfId="0" applyBorder="1" applyAlignment="1">
      <alignment vertical="center" wrapText="1"/>
    </xf>
    <xf numFmtId="0" fontId="0" fillId="0" borderId="1" xfId="0" applyBorder="1">
      <alignment vertical="center"/>
    </xf>
    <xf numFmtId="0" fontId="0" fillId="0" borderId="0" xfId="0" applyAlignment="1">
      <alignment horizontal="left" vertical="center"/>
    </xf>
    <xf numFmtId="0" fontId="0" fillId="0" borderId="6" xfId="0" applyBorder="1">
      <alignment vertical="center"/>
    </xf>
    <xf numFmtId="0" fontId="5" fillId="0" borderId="0" xfId="0" applyFont="1" applyAlignment="1">
      <alignment horizontal="left" vertical="center" indent="1" readingOrder="1"/>
    </xf>
    <xf numFmtId="0" fontId="0" fillId="6" borderId="0" xfId="0" applyFill="1">
      <alignment vertical="center"/>
    </xf>
    <xf numFmtId="0" fontId="0" fillId="10" borderId="0" xfId="0" applyFill="1">
      <alignment vertical="center"/>
    </xf>
    <xf numFmtId="0" fontId="0" fillId="8" borderId="23" xfId="0" applyFill="1" applyBorder="1">
      <alignment vertical="center"/>
    </xf>
    <xf numFmtId="0" fontId="0" fillId="8" borderId="24" xfId="0" applyFill="1" applyBorder="1">
      <alignment vertical="center"/>
    </xf>
    <xf numFmtId="0" fontId="0" fillId="8" borderId="25" xfId="0" applyFill="1" applyBorder="1">
      <alignment vertical="center"/>
    </xf>
    <xf numFmtId="38" fontId="0" fillId="11" borderId="21" xfId="1" applyFont="1" applyFill="1" applyBorder="1">
      <alignment vertical="center"/>
    </xf>
    <xf numFmtId="38" fontId="0" fillId="11" borderId="16" xfId="1" applyFont="1" applyFill="1" applyBorder="1">
      <alignment vertical="center"/>
    </xf>
    <xf numFmtId="38" fontId="0" fillId="11" borderId="17" xfId="1" applyFont="1" applyFill="1" applyBorder="1">
      <alignment vertical="center"/>
    </xf>
    <xf numFmtId="38" fontId="0" fillId="11" borderId="3" xfId="1" applyFont="1" applyFill="1" applyBorder="1">
      <alignment vertical="center"/>
    </xf>
    <xf numFmtId="38" fontId="0" fillId="11" borderId="1" xfId="1" applyFont="1" applyFill="1" applyBorder="1">
      <alignment vertical="center"/>
    </xf>
    <xf numFmtId="38" fontId="0" fillId="11" borderId="18" xfId="1" applyFont="1" applyFill="1" applyBorder="1">
      <alignment vertical="center"/>
    </xf>
    <xf numFmtId="38" fontId="0" fillId="11" borderId="22" xfId="1" applyFont="1" applyFill="1" applyBorder="1">
      <alignment vertical="center"/>
    </xf>
    <xf numFmtId="38" fontId="0" fillId="11" borderId="19" xfId="1" applyFont="1" applyFill="1" applyBorder="1">
      <alignment vertical="center"/>
    </xf>
    <xf numFmtId="38" fontId="0" fillId="11" borderId="20" xfId="1" applyFont="1" applyFill="1" applyBorder="1">
      <alignment vertical="center"/>
    </xf>
    <xf numFmtId="0" fontId="0" fillId="8" borderId="26" xfId="0" applyFill="1" applyBorder="1" applyAlignment="1">
      <alignment horizontal="center" vertical="center"/>
    </xf>
    <xf numFmtId="0" fontId="0" fillId="8" borderId="27" xfId="0" applyFill="1" applyBorder="1" applyAlignment="1">
      <alignment horizontal="center" vertical="center"/>
    </xf>
    <xf numFmtId="0" fontId="0" fillId="8" borderId="28" xfId="0" applyFill="1" applyBorder="1" applyAlignment="1">
      <alignment horizontal="center" vertical="center"/>
    </xf>
    <xf numFmtId="0" fontId="0" fillId="5" borderId="23" xfId="0" applyFill="1" applyBorder="1">
      <alignment vertical="center"/>
    </xf>
    <xf numFmtId="0" fontId="0" fillId="5" borderId="24" xfId="0" applyFill="1" applyBorder="1">
      <alignment vertical="center"/>
    </xf>
    <xf numFmtId="0" fontId="0" fillId="5" borderId="25" xfId="0" applyFill="1" applyBorder="1">
      <alignment vertical="center"/>
    </xf>
    <xf numFmtId="0" fontId="0" fillId="9" borderId="23" xfId="0" applyFill="1" applyBorder="1">
      <alignment vertical="center"/>
    </xf>
    <xf numFmtId="0" fontId="0" fillId="7" borderId="24" xfId="0" applyFill="1" applyBorder="1">
      <alignment vertical="center"/>
    </xf>
    <xf numFmtId="0" fontId="0" fillId="7" borderId="25" xfId="0" applyFill="1" applyBorder="1">
      <alignment vertical="center"/>
    </xf>
    <xf numFmtId="0" fontId="0" fillId="6" borderId="1" xfId="0" applyFill="1" applyBorder="1">
      <alignment vertical="center"/>
    </xf>
    <xf numFmtId="0" fontId="0" fillId="10" borderId="0" xfId="0" applyFill="1" applyAlignment="1">
      <alignment vertical="center" wrapText="1"/>
    </xf>
    <xf numFmtId="0" fontId="0" fillId="10" borderId="1" xfId="0" applyFill="1" applyBorder="1" applyAlignment="1">
      <alignment horizontal="center" vertical="center"/>
    </xf>
    <xf numFmtId="0" fontId="0" fillId="9" borderId="15" xfId="0" applyFill="1" applyBorder="1">
      <alignment vertical="center"/>
    </xf>
    <xf numFmtId="40" fontId="2" fillId="0" borderId="1" xfId="1" applyNumberFormat="1" applyFont="1" applyBorder="1">
      <alignment vertical="center"/>
    </xf>
    <xf numFmtId="0" fontId="4" fillId="4" borderId="3" xfId="0" applyFont="1" applyFill="1" applyBorder="1" applyAlignment="1">
      <alignment horizontal="center" vertical="center"/>
    </xf>
    <xf numFmtId="0" fontId="2" fillId="3" borderId="5" xfId="0" applyFont="1" applyFill="1" applyBorder="1">
      <alignment vertical="center"/>
    </xf>
    <xf numFmtId="38" fontId="6" fillId="0" borderId="1" xfId="0" applyNumberFormat="1" applyFont="1" applyBorder="1">
      <alignment vertical="center"/>
    </xf>
    <xf numFmtId="177" fontId="6" fillId="0" borderId="1" xfId="2" applyNumberFormat="1" applyFont="1" applyBorder="1">
      <alignment vertical="center"/>
    </xf>
    <xf numFmtId="0" fontId="7" fillId="0" borderId="0" xfId="0" applyFont="1" applyAlignment="1">
      <alignment vertical="center" wrapText="1"/>
    </xf>
    <xf numFmtId="38" fontId="8" fillId="0" borderId="0" xfId="0" applyNumberFormat="1" applyFont="1">
      <alignment vertical="center"/>
    </xf>
    <xf numFmtId="0" fontId="0" fillId="0" borderId="1" xfId="0" applyBorder="1" applyAlignment="1">
      <alignment horizontal="center" vertical="center"/>
    </xf>
    <xf numFmtId="0" fontId="9" fillId="0" borderId="0" xfId="0" applyFont="1">
      <alignment vertical="center"/>
    </xf>
    <xf numFmtId="0" fontId="6" fillId="0" borderId="0" xfId="0" applyFont="1">
      <alignment vertical="center"/>
    </xf>
    <xf numFmtId="0" fontId="6" fillId="3" borderId="2" xfId="0" applyFont="1" applyFill="1" applyBorder="1">
      <alignment vertical="center"/>
    </xf>
    <xf numFmtId="0" fontId="6" fillId="3" borderId="1" xfId="0" applyFont="1" applyFill="1" applyBorder="1" applyAlignment="1">
      <alignment horizontal="left" vertical="center"/>
    </xf>
    <xf numFmtId="0" fontId="6" fillId="4" borderId="3" xfId="0" applyFont="1" applyFill="1" applyBorder="1">
      <alignment vertical="center"/>
    </xf>
    <xf numFmtId="0" fontId="5" fillId="0" borderId="0" xfId="0" applyFont="1">
      <alignment vertical="center"/>
    </xf>
    <xf numFmtId="0" fontId="5" fillId="3" borderId="1" xfId="0" applyFont="1" applyFill="1" applyBorder="1">
      <alignment vertical="center"/>
    </xf>
    <xf numFmtId="0" fontId="11" fillId="0" borderId="0" xfId="0" applyFont="1">
      <alignment vertical="center"/>
    </xf>
    <xf numFmtId="0" fontId="11" fillId="3" borderId="5" xfId="0" applyFont="1" applyFill="1" applyBorder="1">
      <alignment vertical="center"/>
    </xf>
    <xf numFmtId="0" fontId="6" fillId="3" borderId="31" xfId="0" applyFont="1" applyFill="1" applyBorder="1">
      <alignment vertical="center"/>
    </xf>
    <xf numFmtId="0" fontId="2" fillId="4" borderId="1" xfId="0" applyFont="1" applyFill="1" applyBorder="1">
      <alignment vertical="center"/>
    </xf>
    <xf numFmtId="0" fontId="0" fillId="4" borderId="0" xfId="0" applyFill="1">
      <alignment vertical="center"/>
    </xf>
    <xf numFmtId="0" fontId="13" fillId="3" borderId="12" xfId="3" applyFill="1" applyBorder="1">
      <alignment vertical="center"/>
    </xf>
    <xf numFmtId="0" fontId="13" fillId="0" borderId="0" xfId="3">
      <alignment vertical="center"/>
    </xf>
    <xf numFmtId="0" fontId="11" fillId="3" borderId="29" xfId="0" applyFont="1" applyFill="1" applyBorder="1">
      <alignment vertical="center"/>
    </xf>
    <xf numFmtId="0" fontId="6" fillId="3" borderId="1" xfId="0" applyFont="1" applyFill="1" applyBorder="1">
      <alignment vertical="center"/>
    </xf>
    <xf numFmtId="38" fontId="6" fillId="0" borderId="1" xfId="1" applyFont="1" applyBorder="1">
      <alignment vertical="center"/>
    </xf>
    <xf numFmtId="0" fontId="6" fillId="3" borderId="3" xfId="0" applyFont="1" applyFill="1" applyBorder="1">
      <alignment vertical="center"/>
    </xf>
    <xf numFmtId="0" fontId="10" fillId="4" borderId="1" xfId="0" applyFont="1" applyFill="1" applyBorder="1" applyAlignment="1">
      <alignment horizontal="center" vertical="center"/>
    </xf>
    <xf numFmtId="0" fontId="6" fillId="0" borderId="0" xfId="0" applyFont="1" applyAlignment="1">
      <alignment horizontal="center" vertical="center"/>
    </xf>
    <xf numFmtId="177" fontId="6" fillId="0" borderId="0" xfId="2" applyNumberFormat="1" applyFont="1" applyBorder="1">
      <alignment vertical="center"/>
    </xf>
    <xf numFmtId="0" fontId="6" fillId="4" borderId="2" xfId="0" applyFont="1" applyFill="1" applyBorder="1">
      <alignment vertical="center"/>
    </xf>
    <xf numFmtId="38" fontId="6" fillId="0" borderId="0" xfId="1" applyFont="1" applyBorder="1">
      <alignment vertical="center"/>
    </xf>
    <xf numFmtId="0" fontId="6" fillId="0" borderId="0" xfId="0" applyFont="1" applyAlignment="1">
      <alignment horizontal="left" vertical="center"/>
    </xf>
    <xf numFmtId="0" fontId="6" fillId="3" borderId="4" xfId="0" applyFont="1" applyFill="1" applyBorder="1">
      <alignment vertical="center"/>
    </xf>
    <xf numFmtId="177" fontId="6" fillId="0" borderId="4" xfId="2" applyNumberFormat="1" applyFont="1" applyBorder="1">
      <alignment vertical="center"/>
    </xf>
    <xf numFmtId="177" fontId="6" fillId="0" borderId="29" xfId="2" applyNumberFormat="1" applyFont="1" applyBorder="1">
      <alignment vertical="center"/>
    </xf>
    <xf numFmtId="176" fontId="6" fillId="0" borderId="1" xfId="0" applyNumberFormat="1" applyFont="1" applyBorder="1">
      <alignment vertical="center"/>
    </xf>
    <xf numFmtId="0" fontId="6" fillId="4" borderId="1" xfId="0" applyFont="1" applyFill="1" applyBorder="1">
      <alignment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1" xfId="0" applyFont="1" applyFill="1" applyBorder="1" applyAlignment="1">
      <alignment vertical="center" wrapText="1"/>
    </xf>
    <xf numFmtId="0" fontId="6" fillId="3" borderId="5" xfId="0" applyFont="1" applyFill="1" applyBorder="1">
      <alignment vertical="center"/>
    </xf>
    <xf numFmtId="38" fontId="0" fillId="0" borderId="13" xfId="1" applyFont="1" applyBorder="1">
      <alignment vertical="center"/>
    </xf>
    <xf numFmtId="38" fontId="0" fillId="0" borderId="6" xfId="1" applyFont="1" applyBorder="1">
      <alignment vertical="center"/>
    </xf>
    <xf numFmtId="0" fontId="16" fillId="0" borderId="0" xfId="0" applyFont="1">
      <alignment vertical="center"/>
    </xf>
    <xf numFmtId="0" fontId="0" fillId="11" borderId="0" xfId="0" applyFill="1">
      <alignment vertical="center"/>
    </xf>
    <xf numFmtId="0" fontId="0" fillId="12" borderId="0" xfId="0" applyFill="1">
      <alignment vertical="center"/>
    </xf>
    <xf numFmtId="0" fontId="17" fillId="3" borderId="1" xfId="0" applyFont="1" applyFill="1" applyBorder="1">
      <alignment vertical="center"/>
    </xf>
    <xf numFmtId="0" fontId="18" fillId="3" borderId="1" xfId="0" applyFont="1" applyFill="1" applyBorder="1">
      <alignment vertical="center"/>
    </xf>
    <xf numFmtId="38" fontId="0" fillId="0" borderId="0" xfId="1" applyFont="1">
      <alignment vertical="center"/>
    </xf>
    <xf numFmtId="0" fontId="12" fillId="0" borderId="0" xfId="0" applyFont="1" applyAlignment="1">
      <alignment horizontal="center" vertical="center"/>
    </xf>
    <xf numFmtId="0" fontId="14" fillId="3" borderId="1" xfId="0" applyFont="1" applyFill="1" applyBorder="1" applyAlignment="1">
      <alignment horizontal="left" vertical="center" wrapText="1"/>
    </xf>
    <xf numFmtId="0" fontId="6" fillId="3" borderId="1" xfId="0" applyFont="1" applyFill="1" applyBorder="1" applyAlignment="1">
      <alignment horizontal="center" vertical="center"/>
    </xf>
    <xf numFmtId="0" fontId="6" fillId="0" borderId="1" xfId="0" applyFont="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5" fillId="3" borderId="30" xfId="0" applyFont="1" applyFill="1" applyBorder="1" applyAlignment="1">
      <alignment horizontal="center" vertical="center" textRotation="255"/>
    </xf>
    <xf numFmtId="0" fontId="15" fillId="3" borderId="31" xfId="0" applyFont="1" applyFill="1" applyBorder="1" applyAlignment="1">
      <alignment horizontal="center" vertical="center" textRotation="255"/>
    </xf>
    <xf numFmtId="0" fontId="15" fillId="3" borderId="5" xfId="0" applyFont="1" applyFill="1" applyBorder="1" applyAlignment="1">
      <alignment horizontal="center" vertical="center" textRotation="255"/>
    </xf>
    <xf numFmtId="0" fontId="5" fillId="3" borderId="2" xfId="0" applyFont="1" applyFill="1" applyBorder="1" applyAlignment="1">
      <alignment horizontal="center" vertical="center"/>
    </xf>
    <xf numFmtId="177" fontId="0" fillId="0" borderId="32" xfId="0" applyNumberFormat="1" applyBorder="1" applyAlignment="1">
      <alignment horizontal="center" vertical="center"/>
    </xf>
    <xf numFmtId="0" fontId="0" fillId="0" borderId="32" xfId="0" applyBorder="1" applyAlignment="1">
      <alignment horizontal="center" vertical="center"/>
    </xf>
    <xf numFmtId="0" fontId="0" fillId="4" borderId="32" xfId="0" applyFill="1" applyBorder="1" applyAlignment="1">
      <alignment horizontal="center" vertical="center"/>
    </xf>
    <xf numFmtId="0" fontId="0" fillId="3" borderId="10" xfId="0" applyFill="1" applyBorder="1" applyAlignment="1">
      <alignment horizontal="center" vertical="center" wrapText="1"/>
    </xf>
    <xf numFmtId="0" fontId="0" fillId="3" borderId="0" xfId="0" applyFill="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パーセント" xfId="2" builtinId="5"/>
    <cellStyle name="ハイパーリンク" xfId="3"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年齢別人口の推移（推計）</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1519349334127253E-2"/>
          <c:y val="0.10473678748042146"/>
          <c:w val="0.88463241625462885"/>
          <c:h val="0.75172379340921136"/>
        </c:manualLayout>
      </c:layout>
      <c:barChart>
        <c:barDir val="col"/>
        <c:grouping val="stacked"/>
        <c:varyColors val="0"/>
        <c:ser>
          <c:idx val="0"/>
          <c:order val="0"/>
          <c:tx>
            <c:strRef>
              <c:f>人口動態!$B$11</c:f>
              <c:strCache>
                <c:ptCount val="1"/>
                <c:pt idx="0">
                  <c:v>0-19歳</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人口動態!$C$10:$I$10</c:f>
              <c:strCache>
                <c:ptCount val="7"/>
                <c:pt idx="0">
                  <c:v>2015年</c:v>
                </c:pt>
                <c:pt idx="1">
                  <c:v>2020年</c:v>
                </c:pt>
                <c:pt idx="2">
                  <c:v>2025年</c:v>
                </c:pt>
                <c:pt idx="3">
                  <c:v>2030年</c:v>
                </c:pt>
                <c:pt idx="4">
                  <c:v>2035年</c:v>
                </c:pt>
                <c:pt idx="5">
                  <c:v>2040年</c:v>
                </c:pt>
                <c:pt idx="6">
                  <c:v>2045年</c:v>
                </c:pt>
              </c:strCache>
            </c:strRef>
          </c:cat>
          <c:val>
            <c:numRef>
              <c:f>人口動態!$C$11:$I$11</c:f>
              <c:numCache>
                <c:formatCode>#,##0_);[Red]\(#,##0\)</c:formatCode>
                <c:ptCount val="7"/>
                <c:pt idx="0">
                  <c:v>13746</c:v>
                </c:pt>
                <c:pt idx="1">
                  <c:v>14587</c:v>
                </c:pt>
                <c:pt idx="2">
                  <c:v>15111</c:v>
                </c:pt>
                <c:pt idx="3">
                  <c:v>15398</c:v>
                </c:pt>
                <c:pt idx="4">
                  <c:v>15476</c:v>
                </c:pt>
                <c:pt idx="5">
                  <c:v>15353</c:v>
                </c:pt>
                <c:pt idx="6">
                  <c:v>15251</c:v>
                </c:pt>
              </c:numCache>
            </c:numRef>
          </c:val>
          <c:extLst>
            <c:ext xmlns:c16="http://schemas.microsoft.com/office/drawing/2014/chart" uri="{C3380CC4-5D6E-409C-BE32-E72D297353CC}">
              <c16:uniqueId val="{00000000-8673-4B47-B70C-526F857DFFA5}"/>
            </c:ext>
          </c:extLst>
        </c:ser>
        <c:ser>
          <c:idx val="1"/>
          <c:order val="1"/>
          <c:tx>
            <c:strRef>
              <c:f>人口動態!$B$12</c:f>
              <c:strCache>
                <c:ptCount val="1"/>
                <c:pt idx="0">
                  <c:v>20-64歳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人口動態!$C$10:$I$10</c:f>
              <c:strCache>
                <c:ptCount val="7"/>
                <c:pt idx="0">
                  <c:v>2015年</c:v>
                </c:pt>
                <c:pt idx="1">
                  <c:v>2020年</c:v>
                </c:pt>
                <c:pt idx="2">
                  <c:v>2025年</c:v>
                </c:pt>
                <c:pt idx="3">
                  <c:v>2030年</c:v>
                </c:pt>
                <c:pt idx="4">
                  <c:v>2035年</c:v>
                </c:pt>
                <c:pt idx="5">
                  <c:v>2040年</c:v>
                </c:pt>
                <c:pt idx="6">
                  <c:v>2045年</c:v>
                </c:pt>
              </c:strCache>
            </c:strRef>
          </c:cat>
          <c:val>
            <c:numRef>
              <c:f>人口動態!$C$12:$I$12</c:f>
              <c:numCache>
                <c:formatCode>#,##0_);[Red]\(#,##0\)</c:formatCode>
                <c:ptCount val="7"/>
                <c:pt idx="0">
                  <c:v>34903</c:v>
                </c:pt>
                <c:pt idx="1">
                  <c:v>37155</c:v>
                </c:pt>
                <c:pt idx="2">
                  <c:v>38825</c:v>
                </c:pt>
                <c:pt idx="3">
                  <c:v>39552</c:v>
                </c:pt>
                <c:pt idx="4">
                  <c:v>39346</c:v>
                </c:pt>
                <c:pt idx="5">
                  <c:v>38041</c:v>
                </c:pt>
                <c:pt idx="6">
                  <c:v>36699</c:v>
                </c:pt>
              </c:numCache>
            </c:numRef>
          </c:val>
          <c:extLst>
            <c:ext xmlns:c16="http://schemas.microsoft.com/office/drawing/2014/chart" uri="{C3380CC4-5D6E-409C-BE32-E72D297353CC}">
              <c16:uniqueId val="{00000001-8673-4B47-B70C-526F857DFFA5}"/>
            </c:ext>
          </c:extLst>
        </c:ser>
        <c:ser>
          <c:idx val="2"/>
          <c:order val="2"/>
          <c:tx>
            <c:strRef>
              <c:f>人口動態!$B$13</c:f>
              <c:strCache>
                <c:ptCount val="1"/>
                <c:pt idx="0">
                  <c:v>65-74歳</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人口動態!$C$10:$I$10</c:f>
              <c:strCache>
                <c:ptCount val="7"/>
                <c:pt idx="0">
                  <c:v>2015年</c:v>
                </c:pt>
                <c:pt idx="1">
                  <c:v>2020年</c:v>
                </c:pt>
                <c:pt idx="2">
                  <c:v>2025年</c:v>
                </c:pt>
                <c:pt idx="3">
                  <c:v>2030年</c:v>
                </c:pt>
                <c:pt idx="4">
                  <c:v>2035年</c:v>
                </c:pt>
                <c:pt idx="5">
                  <c:v>2040年</c:v>
                </c:pt>
                <c:pt idx="6">
                  <c:v>2045年</c:v>
                </c:pt>
              </c:strCache>
            </c:strRef>
          </c:cat>
          <c:val>
            <c:numRef>
              <c:f>人口動態!$C$13:$I$13</c:f>
              <c:numCache>
                <c:formatCode>#,##0_);[Red]\(#,##0\)</c:formatCode>
                <c:ptCount val="7"/>
                <c:pt idx="0">
                  <c:v>5242</c:v>
                </c:pt>
                <c:pt idx="1">
                  <c:v>5392</c:v>
                </c:pt>
                <c:pt idx="2">
                  <c:v>4966</c:v>
                </c:pt>
                <c:pt idx="3">
                  <c:v>5615</c:v>
                </c:pt>
                <c:pt idx="4">
                  <c:v>6984</c:v>
                </c:pt>
                <c:pt idx="5">
                  <c:v>8535</c:v>
                </c:pt>
                <c:pt idx="6">
                  <c:v>9010</c:v>
                </c:pt>
              </c:numCache>
            </c:numRef>
          </c:val>
          <c:extLst>
            <c:ext xmlns:c16="http://schemas.microsoft.com/office/drawing/2014/chart" uri="{C3380CC4-5D6E-409C-BE32-E72D297353CC}">
              <c16:uniqueId val="{00000002-8673-4B47-B70C-526F857DFFA5}"/>
            </c:ext>
          </c:extLst>
        </c:ser>
        <c:ser>
          <c:idx val="3"/>
          <c:order val="3"/>
          <c:tx>
            <c:strRef>
              <c:f>人口動態!$B$14</c:f>
              <c:strCache>
                <c:ptCount val="1"/>
                <c:pt idx="0">
                  <c:v>75-84歳</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人口動態!$C$10:$I$10</c:f>
              <c:strCache>
                <c:ptCount val="7"/>
                <c:pt idx="0">
                  <c:v>2015年</c:v>
                </c:pt>
                <c:pt idx="1">
                  <c:v>2020年</c:v>
                </c:pt>
                <c:pt idx="2">
                  <c:v>2025年</c:v>
                </c:pt>
                <c:pt idx="3">
                  <c:v>2030年</c:v>
                </c:pt>
                <c:pt idx="4">
                  <c:v>2035年</c:v>
                </c:pt>
                <c:pt idx="5">
                  <c:v>2040年</c:v>
                </c:pt>
                <c:pt idx="6">
                  <c:v>2045年</c:v>
                </c:pt>
              </c:strCache>
            </c:strRef>
          </c:cat>
          <c:val>
            <c:numRef>
              <c:f>人口動態!$C$14:$I$14</c:f>
              <c:numCache>
                <c:formatCode>#,##0_);[Red]\(#,##0\)</c:formatCode>
                <c:ptCount val="7"/>
                <c:pt idx="0">
                  <c:v>2727</c:v>
                </c:pt>
                <c:pt idx="1">
                  <c:v>3662</c:v>
                </c:pt>
                <c:pt idx="2">
                  <c:v>4707</c:v>
                </c:pt>
                <c:pt idx="3">
                  <c:v>4828</c:v>
                </c:pt>
                <c:pt idx="4">
                  <c:v>4445</c:v>
                </c:pt>
                <c:pt idx="5">
                  <c:v>5020</c:v>
                </c:pt>
                <c:pt idx="6">
                  <c:v>6212</c:v>
                </c:pt>
              </c:numCache>
            </c:numRef>
          </c:val>
          <c:extLst>
            <c:ext xmlns:c16="http://schemas.microsoft.com/office/drawing/2014/chart" uri="{C3380CC4-5D6E-409C-BE32-E72D297353CC}">
              <c16:uniqueId val="{00000003-8673-4B47-B70C-526F857DFFA5}"/>
            </c:ext>
          </c:extLst>
        </c:ser>
        <c:ser>
          <c:idx val="4"/>
          <c:order val="4"/>
          <c:tx>
            <c:strRef>
              <c:f>人口動態!$B$15</c:f>
              <c:strCache>
                <c:ptCount val="1"/>
                <c:pt idx="0">
                  <c:v>85歳以上</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人口動態!$C$10:$I$10</c:f>
              <c:strCache>
                <c:ptCount val="7"/>
                <c:pt idx="0">
                  <c:v>2015年</c:v>
                </c:pt>
                <c:pt idx="1">
                  <c:v>2020年</c:v>
                </c:pt>
                <c:pt idx="2">
                  <c:v>2025年</c:v>
                </c:pt>
                <c:pt idx="3">
                  <c:v>2030年</c:v>
                </c:pt>
                <c:pt idx="4">
                  <c:v>2035年</c:v>
                </c:pt>
                <c:pt idx="5">
                  <c:v>2040年</c:v>
                </c:pt>
                <c:pt idx="6">
                  <c:v>2045年</c:v>
                </c:pt>
              </c:strCache>
            </c:strRef>
          </c:cat>
          <c:val>
            <c:numRef>
              <c:f>人口動態!$C$15:$I$15</c:f>
              <c:numCache>
                <c:formatCode>#,##0_);[Red]\(#,##0\)</c:formatCode>
                <c:ptCount val="7"/>
                <c:pt idx="0">
                  <c:v>980</c:v>
                </c:pt>
                <c:pt idx="1">
                  <c:v>1418</c:v>
                </c:pt>
                <c:pt idx="2">
                  <c:v>1905</c:v>
                </c:pt>
                <c:pt idx="3">
                  <c:v>2557</c:v>
                </c:pt>
                <c:pt idx="4">
                  <c:v>3312</c:v>
                </c:pt>
                <c:pt idx="5">
                  <c:v>3483</c:v>
                </c:pt>
                <c:pt idx="6">
                  <c:v>3488</c:v>
                </c:pt>
              </c:numCache>
            </c:numRef>
          </c:val>
          <c:extLst>
            <c:ext xmlns:c16="http://schemas.microsoft.com/office/drawing/2014/chart" uri="{C3380CC4-5D6E-409C-BE32-E72D297353CC}">
              <c16:uniqueId val="{00000004-8673-4B47-B70C-526F857DFFA5}"/>
            </c:ext>
          </c:extLst>
        </c:ser>
        <c:dLbls>
          <c:showLegendKey val="0"/>
          <c:showVal val="0"/>
          <c:showCatName val="0"/>
          <c:showSerName val="0"/>
          <c:showPercent val="0"/>
          <c:showBubbleSize val="0"/>
        </c:dLbls>
        <c:gapWidth val="125"/>
        <c:overlap val="100"/>
        <c:axId val="61517823"/>
        <c:axId val="61514079"/>
      </c:barChart>
      <c:catAx>
        <c:axId val="61517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514079"/>
        <c:crosses val="autoZero"/>
        <c:auto val="1"/>
        <c:lblAlgn val="ctr"/>
        <c:lblOffset val="100"/>
        <c:noMultiLvlLbl val="0"/>
      </c:catAx>
      <c:valAx>
        <c:axId val="61514079"/>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517823"/>
        <c:crosses val="autoZero"/>
        <c:crossBetween val="between"/>
      </c:valAx>
      <c:spPr>
        <a:noFill/>
        <a:ln>
          <a:solidFill>
            <a:schemeClr val="bg1"/>
          </a:solid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1" i="0" u="none" strike="noStrike" kern="1200" spc="0" baseline="0">
                <a:solidFill>
                  <a:schemeClr val="tx1">
                    <a:lumMod val="65000"/>
                    <a:lumOff val="35000"/>
                  </a:schemeClr>
                </a:solidFill>
                <a:latin typeface="+mn-lt"/>
                <a:ea typeface="+mn-ea"/>
                <a:cs typeface="+mn-cs"/>
              </a:defRPr>
            </a:pPr>
            <a:r>
              <a:rPr lang="ja-JP" altLang="en-US" sz="1400" b="0"/>
              <a:t>年齢別人口割合の推移</a:t>
            </a:r>
            <a:endParaRPr lang="ja-JP" sz="1400" b="0"/>
          </a:p>
        </c:rich>
      </c:tx>
      <c:layout/>
      <c:overlay val="0"/>
      <c:spPr>
        <a:noFill/>
        <a:ln>
          <a:noFill/>
        </a:ln>
        <a:effectLst/>
      </c:spPr>
      <c:txPr>
        <a:bodyPr rot="0" spcFirstLastPara="1" vertOverflow="ellipsis" vert="horz" wrap="square" anchor="ctr" anchorCtr="1"/>
        <a:lstStyle/>
        <a:p>
          <a:pPr>
            <a:defRPr sz="126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strRef>
              <c:f>人口動態!$B$31</c:f>
              <c:strCache>
                <c:ptCount val="1"/>
                <c:pt idx="0">
                  <c:v>0-19歳</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人口動態!$C$28:$I$28</c:f>
              <c:strCache>
                <c:ptCount val="7"/>
                <c:pt idx="0">
                  <c:v>2015年</c:v>
                </c:pt>
                <c:pt idx="1">
                  <c:v>2020年</c:v>
                </c:pt>
                <c:pt idx="2">
                  <c:v>2025年</c:v>
                </c:pt>
                <c:pt idx="3">
                  <c:v>2030年</c:v>
                </c:pt>
                <c:pt idx="4">
                  <c:v>2035年</c:v>
                </c:pt>
                <c:pt idx="5">
                  <c:v>2040年</c:v>
                </c:pt>
                <c:pt idx="6">
                  <c:v>2045年</c:v>
                </c:pt>
              </c:strCache>
            </c:strRef>
          </c:cat>
          <c:val>
            <c:numRef>
              <c:f>人口動態!$C$31:$I$31</c:f>
              <c:numCache>
                <c:formatCode>0.0%</c:formatCode>
                <c:ptCount val="7"/>
                <c:pt idx="0">
                  <c:v>0.23865411993471997</c:v>
                </c:pt>
                <c:pt idx="1">
                  <c:v>0.23446491143472531</c:v>
                </c:pt>
                <c:pt idx="2">
                  <c:v>0.23065299020056781</c:v>
                </c:pt>
                <c:pt idx="3">
                  <c:v>0.22660779985283297</c:v>
                </c:pt>
                <c:pt idx="4">
                  <c:v>0.22247459137760017</c:v>
                </c:pt>
                <c:pt idx="5">
                  <c:v>0.21798330304407088</c:v>
                </c:pt>
                <c:pt idx="6">
                  <c:v>0.21583639966034532</c:v>
                </c:pt>
              </c:numCache>
            </c:numRef>
          </c:val>
          <c:extLst>
            <c:ext xmlns:c16="http://schemas.microsoft.com/office/drawing/2014/chart" uri="{C3380CC4-5D6E-409C-BE32-E72D297353CC}">
              <c16:uniqueId val="{00000000-9ACD-41E8-8E09-770376C7DEA4}"/>
            </c:ext>
          </c:extLst>
        </c:ser>
        <c:ser>
          <c:idx val="1"/>
          <c:order val="1"/>
          <c:tx>
            <c:strRef>
              <c:f>人口動態!$B$32</c:f>
              <c:strCache>
                <c:ptCount val="1"/>
                <c:pt idx="0">
                  <c:v>20-64歳</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人口動態!$C$28:$I$28</c:f>
              <c:strCache>
                <c:ptCount val="7"/>
                <c:pt idx="0">
                  <c:v>2015年</c:v>
                </c:pt>
                <c:pt idx="1">
                  <c:v>2020年</c:v>
                </c:pt>
                <c:pt idx="2">
                  <c:v>2025年</c:v>
                </c:pt>
                <c:pt idx="3">
                  <c:v>2030年</c:v>
                </c:pt>
                <c:pt idx="4">
                  <c:v>2035年</c:v>
                </c:pt>
                <c:pt idx="5">
                  <c:v>2040年</c:v>
                </c:pt>
                <c:pt idx="6">
                  <c:v>2045年</c:v>
                </c:pt>
              </c:strCache>
            </c:strRef>
          </c:cat>
          <c:val>
            <c:numRef>
              <c:f>人口動態!$C$32:$I$32</c:f>
              <c:numCache>
                <c:formatCode>0.0%</c:formatCode>
                <c:ptCount val="7"/>
                <c:pt idx="0">
                  <c:v>0.60597590194103967</c:v>
                </c:pt>
                <c:pt idx="1">
                  <c:v>0.59721284598321922</c:v>
                </c:pt>
                <c:pt idx="2">
                  <c:v>0.59262142442836641</c:v>
                </c:pt>
                <c:pt idx="3">
                  <c:v>0.58207505518763802</c:v>
                </c:pt>
                <c:pt idx="4">
                  <c:v>0.56561677903483176</c:v>
                </c:pt>
                <c:pt idx="5">
                  <c:v>0.54010960926851426</c:v>
                </c:pt>
                <c:pt idx="6">
                  <c:v>0.51937446928955566</c:v>
                </c:pt>
              </c:numCache>
            </c:numRef>
          </c:val>
          <c:extLst>
            <c:ext xmlns:c16="http://schemas.microsoft.com/office/drawing/2014/chart" uri="{C3380CC4-5D6E-409C-BE32-E72D297353CC}">
              <c16:uniqueId val="{00000001-9ACD-41E8-8E09-770376C7DEA4}"/>
            </c:ext>
          </c:extLst>
        </c:ser>
        <c:ser>
          <c:idx val="2"/>
          <c:order val="2"/>
          <c:tx>
            <c:strRef>
              <c:f>人口動態!$B$33</c:f>
              <c:strCache>
                <c:ptCount val="1"/>
                <c:pt idx="0">
                  <c:v>65-74歳</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人口動態!$C$28:$I$28</c:f>
              <c:strCache>
                <c:ptCount val="7"/>
                <c:pt idx="0">
                  <c:v>2015年</c:v>
                </c:pt>
                <c:pt idx="1">
                  <c:v>2020年</c:v>
                </c:pt>
                <c:pt idx="2">
                  <c:v>2025年</c:v>
                </c:pt>
                <c:pt idx="3">
                  <c:v>2030年</c:v>
                </c:pt>
                <c:pt idx="4">
                  <c:v>2035年</c:v>
                </c:pt>
                <c:pt idx="5">
                  <c:v>2040年</c:v>
                </c:pt>
                <c:pt idx="6">
                  <c:v>2045年</c:v>
                </c:pt>
              </c:strCache>
            </c:strRef>
          </c:cat>
          <c:val>
            <c:numRef>
              <c:f>人口動態!$C$33:$I$33</c:f>
              <c:numCache>
                <c:formatCode>0.0%</c:formatCode>
                <c:ptCount val="7"/>
                <c:pt idx="0">
                  <c:v>9.1010104517517967E-2</c:v>
                </c:pt>
                <c:pt idx="1">
                  <c:v>8.6668595492975856E-2</c:v>
                </c:pt>
                <c:pt idx="2">
                  <c:v>7.5800592239826603E-2</c:v>
                </c:pt>
                <c:pt idx="3">
                  <c:v>8.2634289919058135E-2</c:v>
                </c:pt>
                <c:pt idx="4">
                  <c:v>0.10039820019263114</c:v>
                </c:pt>
                <c:pt idx="5">
                  <c:v>0.12118071331213084</c:v>
                </c:pt>
                <c:pt idx="6">
                  <c:v>0.12751202943673931</c:v>
                </c:pt>
              </c:numCache>
            </c:numRef>
          </c:val>
          <c:extLst>
            <c:ext xmlns:c16="http://schemas.microsoft.com/office/drawing/2014/chart" uri="{C3380CC4-5D6E-409C-BE32-E72D297353CC}">
              <c16:uniqueId val="{00000002-9ACD-41E8-8E09-770376C7DEA4}"/>
            </c:ext>
          </c:extLst>
        </c:ser>
        <c:ser>
          <c:idx val="3"/>
          <c:order val="3"/>
          <c:tx>
            <c:strRef>
              <c:f>人口動態!$B$34</c:f>
              <c:strCache>
                <c:ptCount val="1"/>
                <c:pt idx="0">
                  <c:v>75-84歳</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人口動態!$C$28:$I$28</c:f>
              <c:strCache>
                <c:ptCount val="7"/>
                <c:pt idx="0">
                  <c:v>2015年</c:v>
                </c:pt>
                <c:pt idx="1">
                  <c:v>2020年</c:v>
                </c:pt>
                <c:pt idx="2">
                  <c:v>2025年</c:v>
                </c:pt>
                <c:pt idx="3">
                  <c:v>2030年</c:v>
                </c:pt>
                <c:pt idx="4">
                  <c:v>2035年</c:v>
                </c:pt>
                <c:pt idx="5">
                  <c:v>2040年</c:v>
                </c:pt>
                <c:pt idx="6">
                  <c:v>2045年</c:v>
                </c:pt>
              </c:strCache>
            </c:strRef>
          </c:cat>
          <c:val>
            <c:numRef>
              <c:f>人口動態!$C$34:$I$34</c:f>
              <c:numCache>
                <c:formatCode>0.0%</c:formatCode>
                <c:ptCount val="7"/>
                <c:pt idx="0">
                  <c:v>4.7345393937289489E-2</c:v>
                </c:pt>
                <c:pt idx="1">
                  <c:v>5.8861349535474332E-2</c:v>
                </c:pt>
                <c:pt idx="2">
                  <c:v>7.184723875812804E-2</c:v>
                </c:pt>
                <c:pt idx="3">
                  <c:v>7.1052244297277412E-2</c:v>
                </c:pt>
                <c:pt idx="4">
                  <c:v>6.3898911777812914E-2</c:v>
                </c:pt>
                <c:pt idx="5">
                  <c:v>7.1274420717855516E-2</c:v>
                </c:pt>
                <c:pt idx="6">
                  <c:v>8.7913954146617609E-2</c:v>
                </c:pt>
              </c:numCache>
            </c:numRef>
          </c:val>
          <c:extLst>
            <c:ext xmlns:c16="http://schemas.microsoft.com/office/drawing/2014/chart" uri="{C3380CC4-5D6E-409C-BE32-E72D297353CC}">
              <c16:uniqueId val="{00000003-9ACD-41E8-8E09-770376C7DEA4}"/>
            </c:ext>
          </c:extLst>
        </c:ser>
        <c:ser>
          <c:idx val="4"/>
          <c:order val="4"/>
          <c:tx>
            <c:strRef>
              <c:f>人口動態!$B$35</c:f>
              <c:strCache>
                <c:ptCount val="1"/>
                <c:pt idx="0">
                  <c:v>85歳以上</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人口動態!$C$28:$I$28</c:f>
              <c:strCache>
                <c:ptCount val="7"/>
                <c:pt idx="0">
                  <c:v>2015年</c:v>
                </c:pt>
                <c:pt idx="1">
                  <c:v>2020年</c:v>
                </c:pt>
                <c:pt idx="2">
                  <c:v>2025年</c:v>
                </c:pt>
                <c:pt idx="3">
                  <c:v>2030年</c:v>
                </c:pt>
                <c:pt idx="4">
                  <c:v>2035年</c:v>
                </c:pt>
                <c:pt idx="5">
                  <c:v>2040年</c:v>
                </c:pt>
                <c:pt idx="6">
                  <c:v>2045年</c:v>
                </c:pt>
              </c:strCache>
            </c:strRef>
          </c:cat>
          <c:val>
            <c:numRef>
              <c:f>人口動態!$C$35:$I$35</c:f>
              <c:numCache>
                <c:formatCode>0.0%</c:formatCode>
                <c:ptCount val="7"/>
                <c:pt idx="0">
                  <c:v>1.7014479669432966E-2</c:v>
                </c:pt>
                <c:pt idx="1">
                  <c:v>2.2792297553605297E-2</c:v>
                </c:pt>
                <c:pt idx="2">
                  <c:v>2.9077754373111091E-2</c:v>
                </c:pt>
                <c:pt idx="3">
                  <c:v>3.7630610743193522E-2</c:v>
                </c:pt>
                <c:pt idx="4">
                  <c:v>4.7611517617124045E-2</c:v>
                </c:pt>
                <c:pt idx="5">
                  <c:v>4.9451953657428445E-2</c:v>
                </c:pt>
                <c:pt idx="6">
                  <c:v>4.9363147466742148E-2</c:v>
                </c:pt>
              </c:numCache>
            </c:numRef>
          </c:val>
          <c:extLst>
            <c:ext xmlns:c16="http://schemas.microsoft.com/office/drawing/2014/chart" uri="{C3380CC4-5D6E-409C-BE32-E72D297353CC}">
              <c16:uniqueId val="{00000004-9ACD-41E8-8E09-770376C7DEA4}"/>
            </c:ext>
          </c:extLst>
        </c:ser>
        <c:dLbls>
          <c:dLblPos val="ctr"/>
          <c:showLegendKey val="0"/>
          <c:showVal val="1"/>
          <c:showCatName val="0"/>
          <c:showSerName val="0"/>
          <c:showPercent val="0"/>
          <c:showBubbleSize val="0"/>
        </c:dLbls>
        <c:gapWidth val="150"/>
        <c:overlap val="100"/>
        <c:axId val="1958625263"/>
        <c:axId val="1958626927"/>
      </c:barChart>
      <c:catAx>
        <c:axId val="1958625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ja-JP"/>
          </a:p>
        </c:txPr>
        <c:crossAx val="1958626927"/>
        <c:crosses val="autoZero"/>
        <c:auto val="1"/>
        <c:lblAlgn val="ctr"/>
        <c:lblOffset val="100"/>
        <c:noMultiLvlLbl val="0"/>
      </c:catAx>
      <c:valAx>
        <c:axId val="19586269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ja-JP"/>
          </a:p>
        </c:txPr>
        <c:crossAx val="1958625263"/>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1"/>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t>年齢別人口推移（</a:t>
            </a:r>
            <a:r>
              <a:rPr lang="en-US"/>
              <a:t>2015</a:t>
            </a:r>
            <a:r>
              <a:rPr lang="ja-JP"/>
              <a:t>年を１とした場合）</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人口動態!$L$11</c:f>
              <c:strCache>
                <c:ptCount val="1"/>
                <c:pt idx="0">
                  <c:v>0-19歳</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人口動態!$M$10:$S$10</c:f>
              <c:strCache>
                <c:ptCount val="7"/>
                <c:pt idx="0">
                  <c:v>2015年</c:v>
                </c:pt>
                <c:pt idx="1">
                  <c:v>2020年</c:v>
                </c:pt>
                <c:pt idx="2">
                  <c:v>2025年</c:v>
                </c:pt>
                <c:pt idx="3">
                  <c:v>2030年</c:v>
                </c:pt>
                <c:pt idx="4">
                  <c:v>2035年</c:v>
                </c:pt>
                <c:pt idx="5">
                  <c:v>2040年</c:v>
                </c:pt>
                <c:pt idx="6">
                  <c:v>2045年</c:v>
                </c:pt>
              </c:strCache>
            </c:strRef>
          </c:cat>
          <c:val>
            <c:numRef>
              <c:f>人口動態!$M$11:$S$11</c:f>
              <c:numCache>
                <c:formatCode>#,##0.00_);[Red]\(#,##0.00\)</c:formatCode>
                <c:ptCount val="7"/>
                <c:pt idx="0">
                  <c:v>1</c:v>
                </c:pt>
                <c:pt idx="1">
                  <c:v>1.0611814345991561</c:v>
                </c:pt>
                <c:pt idx="2">
                  <c:v>1.0993016150152772</c:v>
                </c:pt>
                <c:pt idx="3">
                  <c:v>1.1201804161210533</c:v>
                </c:pt>
                <c:pt idx="4">
                  <c:v>1.1258547941219263</c:v>
                </c:pt>
                <c:pt idx="5">
                  <c:v>1.116906736505165</c:v>
                </c:pt>
                <c:pt idx="6">
                  <c:v>1.109486396042485</c:v>
                </c:pt>
              </c:numCache>
            </c:numRef>
          </c:val>
          <c:smooth val="0"/>
          <c:extLst>
            <c:ext xmlns:c16="http://schemas.microsoft.com/office/drawing/2014/chart" uri="{C3380CC4-5D6E-409C-BE32-E72D297353CC}">
              <c16:uniqueId val="{00000000-5504-4D0C-94AF-3788F23F3A98}"/>
            </c:ext>
          </c:extLst>
        </c:ser>
        <c:ser>
          <c:idx val="1"/>
          <c:order val="1"/>
          <c:tx>
            <c:strRef>
              <c:f>人口動態!$L$12</c:f>
              <c:strCache>
                <c:ptCount val="1"/>
                <c:pt idx="0">
                  <c:v>20-64歳</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人口動態!$M$10:$S$10</c:f>
              <c:strCache>
                <c:ptCount val="7"/>
                <c:pt idx="0">
                  <c:v>2015年</c:v>
                </c:pt>
                <c:pt idx="1">
                  <c:v>2020年</c:v>
                </c:pt>
                <c:pt idx="2">
                  <c:v>2025年</c:v>
                </c:pt>
                <c:pt idx="3">
                  <c:v>2030年</c:v>
                </c:pt>
                <c:pt idx="4">
                  <c:v>2035年</c:v>
                </c:pt>
                <c:pt idx="5">
                  <c:v>2040年</c:v>
                </c:pt>
                <c:pt idx="6">
                  <c:v>2045年</c:v>
                </c:pt>
              </c:strCache>
            </c:strRef>
          </c:cat>
          <c:val>
            <c:numRef>
              <c:f>人口動態!$M$12:$S$12</c:f>
              <c:numCache>
                <c:formatCode>#,##0.00_);[Red]\(#,##0.00\)</c:formatCode>
                <c:ptCount val="7"/>
                <c:pt idx="0">
                  <c:v>1</c:v>
                </c:pt>
                <c:pt idx="1">
                  <c:v>1.06452167435464</c:v>
                </c:pt>
                <c:pt idx="2">
                  <c:v>1.1123685643067931</c:v>
                </c:pt>
                <c:pt idx="3">
                  <c:v>1.1331977193937484</c:v>
                </c:pt>
                <c:pt idx="4">
                  <c:v>1.1272956479385725</c:v>
                </c:pt>
                <c:pt idx="5">
                  <c:v>1.0899063117783572</c:v>
                </c:pt>
                <c:pt idx="6">
                  <c:v>1.0514568948227947</c:v>
                </c:pt>
              </c:numCache>
            </c:numRef>
          </c:val>
          <c:smooth val="0"/>
          <c:extLst>
            <c:ext xmlns:c16="http://schemas.microsoft.com/office/drawing/2014/chart" uri="{C3380CC4-5D6E-409C-BE32-E72D297353CC}">
              <c16:uniqueId val="{00000001-5504-4D0C-94AF-3788F23F3A98}"/>
            </c:ext>
          </c:extLst>
        </c:ser>
        <c:ser>
          <c:idx val="2"/>
          <c:order val="2"/>
          <c:tx>
            <c:strRef>
              <c:f>人口動態!$L$13</c:f>
              <c:strCache>
                <c:ptCount val="1"/>
                <c:pt idx="0">
                  <c:v>65-74歳</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人口動態!$M$10:$S$10</c:f>
              <c:strCache>
                <c:ptCount val="7"/>
                <c:pt idx="0">
                  <c:v>2015年</c:v>
                </c:pt>
                <c:pt idx="1">
                  <c:v>2020年</c:v>
                </c:pt>
                <c:pt idx="2">
                  <c:v>2025年</c:v>
                </c:pt>
                <c:pt idx="3">
                  <c:v>2030年</c:v>
                </c:pt>
                <c:pt idx="4">
                  <c:v>2035年</c:v>
                </c:pt>
                <c:pt idx="5">
                  <c:v>2040年</c:v>
                </c:pt>
                <c:pt idx="6">
                  <c:v>2045年</c:v>
                </c:pt>
              </c:strCache>
            </c:strRef>
          </c:cat>
          <c:val>
            <c:numRef>
              <c:f>人口動態!$M$13:$S$13</c:f>
              <c:numCache>
                <c:formatCode>#,##0.00_);[Red]\(#,##0.00\)</c:formatCode>
                <c:ptCount val="7"/>
                <c:pt idx="0">
                  <c:v>1</c:v>
                </c:pt>
                <c:pt idx="1">
                  <c:v>1.02861503243037</c:v>
                </c:pt>
                <c:pt idx="2">
                  <c:v>0.94734834032811899</c:v>
                </c:pt>
                <c:pt idx="3">
                  <c:v>1.0711560473101869</c:v>
                </c:pt>
                <c:pt idx="4">
                  <c:v>1.3323159099580313</c:v>
                </c:pt>
                <c:pt idx="5">
                  <c:v>1.628195345288058</c:v>
                </c:pt>
                <c:pt idx="6">
                  <c:v>1.7188096146508967</c:v>
                </c:pt>
              </c:numCache>
            </c:numRef>
          </c:val>
          <c:smooth val="0"/>
          <c:extLst>
            <c:ext xmlns:c16="http://schemas.microsoft.com/office/drawing/2014/chart" uri="{C3380CC4-5D6E-409C-BE32-E72D297353CC}">
              <c16:uniqueId val="{00000002-5504-4D0C-94AF-3788F23F3A98}"/>
            </c:ext>
          </c:extLst>
        </c:ser>
        <c:ser>
          <c:idx val="3"/>
          <c:order val="3"/>
          <c:tx>
            <c:strRef>
              <c:f>人口動態!$L$14</c:f>
              <c:strCache>
                <c:ptCount val="1"/>
                <c:pt idx="0">
                  <c:v>75-84歳</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人口動態!$M$10:$S$10</c:f>
              <c:strCache>
                <c:ptCount val="7"/>
                <c:pt idx="0">
                  <c:v>2015年</c:v>
                </c:pt>
                <c:pt idx="1">
                  <c:v>2020年</c:v>
                </c:pt>
                <c:pt idx="2">
                  <c:v>2025年</c:v>
                </c:pt>
                <c:pt idx="3">
                  <c:v>2030年</c:v>
                </c:pt>
                <c:pt idx="4">
                  <c:v>2035年</c:v>
                </c:pt>
                <c:pt idx="5">
                  <c:v>2040年</c:v>
                </c:pt>
                <c:pt idx="6">
                  <c:v>2045年</c:v>
                </c:pt>
              </c:strCache>
            </c:strRef>
          </c:cat>
          <c:val>
            <c:numRef>
              <c:f>人口動態!$M$14:$S$14</c:f>
              <c:numCache>
                <c:formatCode>#,##0.00_);[Red]\(#,##0.00\)</c:formatCode>
                <c:ptCount val="7"/>
                <c:pt idx="0">
                  <c:v>1</c:v>
                </c:pt>
                <c:pt idx="1">
                  <c:v>1.3428676200953429</c:v>
                </c:pt>
                <c:pt idx="2">
                  <c:v>1.726072607260726</c:v>
                </c:pt>
                <c:pt idx="3">
                  <c:v>1.7704437110377704</c:v>
                </c:pt>
                <c:pt idx="4">
                  <c:v>1.62999633296663</c:v>
                </c:pt>
                <c:pt idx="5">
                  <c:v>1.8408507517418409</c:v>
                </c:pt>
                <c:pt idx="6">
                  <c:v>2.277961129446278</c:v>
                </c:pt>
              </c:numCache>
            </c:numRef>
          </c:val>
          <c:smooth val="0"/>
          <c:extLst>
            <c:ext xmlns:c16="http://schemas.microsoft.com/office/drawing/2014/chart" uri="{C3380CC4-5D6E-409C-BE32-E72D297353CC}">
              <c16:uniqueId val="{00000003-5504-4D0C-94AF-3788F23F3A98}"/>
            </c:ext>
          </c:extLst>
        </c:ser>
        <c:ser>
          <c:idx val="4"/>
          <c:order val="4"/>
          <c:tx>
            <c:strRef>
              <c:f>人口動態!$L$15</c:f>
              <c:strCache>
                <c:ptCount val="1"/>
                <c:pt idx="0">
                  <c:v>85歳以上</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人口動態!$M$10:$S$10</c:f>
              <c:strCache>
                <c:ptCount val="7"/>
                <c:pt idx="0">
                  <c:v>2015年</c:v>
                </c:pt>
                <c:pt idx="1">
                  <c:v>2020年</c:v>
                </c:pt>
                <c:pt idx="2">
                  <c:v>2025年</c:v>
                </c:pt>
                <c:pt idx="3">
                  <c:v>2030年</c:v>
                </c:pt>
                <c:pt idx="4">
                  <c:v>2035年</c:v>
                </c:pt>
                <c:pt idx="5">
                  <c:v>2040年</c:v>
                </c:pt>
                <c:pt idx="6">
                  <c:v>2045年</c:v>
                </c:pt>
              </c:strCache>
            </c:strRef>
          </c:cat>
          <c:val>
            <c:numRef>
              <c:f>人口動態!$M$15:$S$15</c:f>
              <c:numCache>
                <c:formatCode>#,##0.00_);[Red]\(#,##0.00\)</c:formatCode>
                <c:ptCount val="7"/>
                <c:pt idx="0">
                  <c:v>1</c:v>
                </c:pt>
                <c:pt idx="1">
                  <c:v>1.4469387755102041</c:v>
                </c:pt>
                <c:pt idx="2">
                  <c:v>1.9438775510204083</c:v>
                </c:pt>
                <c:pt idx="3">
                  <c:v>2.6091836734693876</c:v>
                </c:pt>
                <c:pt idx="4">
                  <c:v>3.379591836734694</c:v>
                </c:pt>
                <c:pt idx="5">
                  <c:v>3.5540816326530611</c:v>
                </c:pt>
                <c:pt idx="6">
                  <c:v>3.5591836734693878</c:v>
                </c:pt>
              </c:numCache>
            </c:numRef>
          </c:val>
          <c:smooth val="0"/>
          <c:extLst>
            <c:ext xmlns:c16="http://schemas.microsoft.com/office/drawing/2014/chart" uri="{C3380CC4-5D6E-409C-BE32-E72D297353CC}">
              <c16:uniqueId val="{00000004-5504-4D0C-94AF-3788F23F3A98}"/>
            </c:ext>
          </c:extLst>
        </c:ser>
        <c:dLbls>
          <c:dLblPos val="ctr"/>
          <c:showLegendKey val="0"/>
          <c:showVal val="1"/>
          <c:showCatName val="0"/>
          <c:showSerName val="0"/>
          <c:showPercent val="0"/>
          <c:showBubbleSize val="0"/>
        </c:dLbls>
        <c:smooth val="0"/>
        <c:axId val="1958627759"/>
        <c:axId val="1958613199"/>
      </c:lineChart>
      <c:catAx>
        <c:axId val="1958627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1958613199"/>
        <c:crosses val="autoZero"/>
        <c:auto val="1"/>
        <c:lblAlgn val="ctr"/>
        <c:lblOffset val="100"/>
        <c:noMultiLvlLbl val="0"/>
      </c:catAx>
      <c:valAx>
        <c:axId val="1958613199"/>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crossAx val="1958627759"/>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852032031027973E-2"/>
          <c:y val="6.8079922027290449E-2"/>
          <c:w val="0.88379340321313338"/>
          <c:h val="0.79815740740740737"/>
        </c:manualLayout>
      </c:layout>
      <c:barChart>
        <c:barDir val="bar"/>
        <c:grouping val="percentStacked"/>
        <c:varyColors val="0"/>
        <c:ser>
          <c:idx val="0"/>
          <c:order val="0"/>
          <c:tx>
            <c:strRef>
              <c:f>世帯構成!$N$8</c:f>
              <c:strCache>
                <c:ptCount val="1"/>
                <c:pt idx="0">
                  <c:v>単独世帯</c:v>
                </c:pt>
              </c:strCache>
            </c:strRef>
          </c:tx>
          <c:spPr>
            <a:solidFill>
              <a:schemeClr val="accent1"/>
            </a:solidFill>
            <a:ln>
              <a:noFill/>
            </a:ln>
            <a:effectLst/>
          </c:spPr>
          <c:invertIfNegative val="0"/>
          <c:dLbls>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世帯構成!$M$9:$M$14</c:f>
              <c:strCache>
                <c:ptCount val="6"/>
                <c:pt idx="0">
                  <c:v>2015年</c:v>
                </c:pt>
                <c:pt idx="1">
                  <c:v>2020年</c:v>
                </c:pt>
                <c:pt idx="2">
                  <c:v>2025年</c:v>
                </c:pt>
                <c:pt idx="3">
                  <c:v>2030年</c:v>
                </c:pt>
                <c:pt idx="4">
                  <c:v>2035年</c:v>
                </c:pt>
                <c:pt idx="5">
                  <c:v>2040年</c:v>
                </c:pt>
              </c:strCache>
            </c:strRef>
          </c:cat>
          <c:val>
            <c:numRef>
              <c:f>世帯構成!$N$9:$N$14</c:f>
              <c:numCache>
                <c:formatCode>0.0%</c:formatCode>
                <c:ptCount val="6"/>
                <c:pt idx="0">
                  <c:v>0.35589426053822337</c:v>
                </c:pt>
                <c:pt idx="1">
                  <c:v>0.36733897202342225</c:v>
                </c:pt>
                <c:pt idx="2">
                  <c:v>0.37716739588397341</c:v>
                </c:pt>
                <c:pt idx="3">
                  <c:v>0.38583436150524369</c:v>
                </c:pt>
                <c:pt idx="4">
                  <c:v>0.39270561965016748</c:v>
                </c:pt>
                <c:pt idx="5">
                  <c:v>0.3981245911172494</c:v>
                </c:pt>
              </c:numCache>
            </c:numRef>
          </c:val>
          <c:extLst>
            <c:ext xmlns:c16="http://schemas.microsoft.com/office/drawing/2014/chart" uri="{C3380CC4-5D6E-409C-BE32-E72D297353CC}">
              <c16:uniqueId val="{00000000-4450-426A-890F-7D4718FDAE95}"/>
            </c:ext>
          </c:extLst>
        </c:ser>
        <c:ser>
          <c:idx val="1"/>
          <c:order val="1"/>
          <c:tx>
            <c:strRef>
              <c:f>世帯構成!$O$8</c:f>
              <c:strCache>
                <c:ptCount val="1"/>
                <c:pt idx="0">
                  <c:v>夫婦のみの世帯</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世帯構成!$M$9:$M$14</c:f>
              <c:strCache>
                <c:ptCount val="6"/>
                <c:pt idx="0">
                  <c:v>2015年</c:v>
                </c:pt>
                <c:pt idx="1">
                  <c:v>2020年</c:v>
                </c:pt>
                <c:pt idx="2">
                  <c:v>2025年</c:v>
                </c:pt>
                <c:pt idx="3">
                  <c:v>2030年</c:v>
                </c:pt>
                <c:pt idx="4">
                  <c:v>2035年</c:v>
                </c:pt>
                <c:pt idx="5">
                  <c:v>2040年</c:v>
                </c:pt>
              </c:strCache>
            </c:strRef>
          </c:cat>
          <c:val>
            <c:numRef>
              <c:f>世帯構成!$O$9:$O$14</c:f>
              <c:numCache>
                <c:formatCode>0.0%</c:formatCode>
                <c:ptCount val="6"/>
                <c:pt idx="0">
                  <c:v>0.1666587282686354</c:v>
                </c:pt>
                <c:pt idx="1">
                  <c:v>0.16898720451095206</c:v>
                </c:pt>
                <c:pt idx="2">
                  <c:v>0.17213579646734728</c:v>
                </c:pt>
                <c:pt idx="3">
                  <c:v>0.1760101789019124</c:v>
                </c:pt>
                <c:pt idx="4">
                  <c:v>0.1805731298846297</c:v>
                </c:pt>
                <c:pt idx="5">
                  <c:v>0.1855419059387948</c:v>
                </c:pt>
              </c:numCache>
            </c:numRef>
          </c:val>
          <c:extLst>
            <c:ext xmlns:c16="http://schemas.microsoft.com/office/drawing/2014/chart" uri="{C3380CC4-5D6E-409C-BE32-E72D297353CC}">
              <c16:uniqueId val="{00000001-4450-426A-890F-7D4718FDAE95}"/>
            </c:ext>
          </c:extLst>
        </c:ser>
        <c:ser>
          <c:idx val="2"/>
          <c:order val="2"/>
          <c:tx>
            <c:strRef>
              <c:f>世帯構成!$P$8</c:f>
              <c:strCache>
                <c:ptCount val="1"/>
                <c:pt idx="0">
                  <c:v>夫婦と子から成る世帯</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世帯構成!$M$9:$M$14</c:f>
              <c:strCache>
                <c:ptCount val="6"/>
                <c:pt idx="0">
                  <c:v>2015年</c:v>
                </c:pt>
                <c:pt idx="1">
                  <c:v>2020年</c:v>
                </c:pt>
                <c:pt idx="2">
                  <c:v>2025年</c:v>
                </c:pt>
                <c:pt idx="3">
                  <c:v>2030年</c:v>
                </c:pt>
                <c:pt idx="4">
                  <c:v>2035年</c:v>
                </c:pt>
                <c:pt idx="5">
                  <c:v>2040年</c:v>
                </c:pt>
              </c:strCache>
            </c:strRef>
          </c:cat>
          <c:val>
            <c:numRef>
              <c:f>世帯構成!$P$9:$P$14</c:f>
              <c:numCache>
                <c:formatCode>0.0%</c:formatCode>
                <c:ptCount val="6"/>
                <c:pt idx="0">
                  <c:v>0.31059776137175515</c:v>
                </c:pt>
                <c:pt idx="1">
                  <c:v>0.2991541964866623</c:v>
                </c:pt>
                <c:pt idx="2">
                  <c:v>0.2866229136282612</c:v>
                </c:pt>
                <c:pt idx="3">
                  <c:v>0.27459901295496608</c:v>
                </c:pt>
                <c:pt idx="4">
                  <c:v>0.26360253070338668</c:v>
                </c:pt>
                <c:pt idx="5">
                  <c:v>0.2542342080395435</c:v>
                </c:pt>
              </c:numCache>
            </c:numRef>
          </c:val>
          <c:extLst>
            <c:ext xmlns:c16="http://schemas.microsoft.com/office/drawing/2014/chart" uri="{C3380CC4-5D6E-409C-BE32-E72D297353CC}">
              <c16:uniqueId val="{00000002-4450-426A-890F-7D4718FDAE95}"/>
            </c:ext>
          </c:extLst>
        </c:ser>
        <c:ser>
          <c:idx val="3"/>
          <c:order val="3"/>
          <c:tx>
            <c:strRef>
              <c:f>世帯構成!$Q$8</c:f>
              <c:strCache>
                <c:ptCount val="1"/>
                <c:pt idx="0">
                  <c:v>ひとり親と子から成る世帯</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世帯構成!$M$9:$M$14</c:f>
              <c:strCache>
                <c:ptCount val="6"/>
                <c:pt idx="0">
                  <c:v>2015年</c:v>
                </c:pt>
                <c:pt idx="1">
                  <c:v>2020年</c:v>
                </c:pt>
                <c:pt idx="2">
                  <c:v>2025年</c:v>
                </c:pt>
                <c:pt idx="3">
                  <c:v>2030年</c:v>
                </c:pt>
                <c:pt idx="4">
                  <c:v>2035年</c:v>
                </c:pt>
                <c:pt idx="5">
                  <c:v>2040年</c:v>
                </c:pt>
              </c:strCache>
            </c:strRef>
          </c:cat>
          <c:val>
            <c:numRef>
              <c:f>世帯構成!$Q$9:$Q$14</c:f>
              <c:numCache>
                <c:formatCode>0.0%</c:formatCode>
                <c:ptCount val="6"/>
                <c:pt idx="0">
                  <c:v>8.101929030721601E-2</c:v>
                </c:pt>
                <c:pt idx="1">
                  <c:v>8.7009325525916281E-2</c:v>
                </c:pt>
                <c:pt idx="2">
                  <c:v>9.1314211635067255E-2</c:v>
                </c:pt>
                <c:pt idx="3">
                  <c:v>9.3923504009870457E-2</c:v>
                </c:pt>
                <c:pt idx="4">
                  <c:v>9.5645701525865282E-2</c:v>
                </c:pt>
                <c:pt idx="5">
                  <c:v>9.6423638874754664E-2</c:v>
                </c:pt>
              </c:numCache>
            </c:numRef>
          </c:val>
          <c:extLst>
            <c:ext xmlns:c16="http://schemas.microsoft.com/office/drawing/2014/chart" uri="{C3380CC4-5D6E-409C-BE32-E72D297353CC}">
              <c16:uniqueId val="{00000003-4450-426A-890F-7D4718FDAE95}"/>
            </c:ext>
          </c:extLst>
        </c:ser>
        <c:ser>
          <c:idx val="4"/>
          <c:order val="4"/>
          <c:tx>
            <c:strRef>
              <c:f>世帯構成!$R$8</c:f>
              <c:strCache>
                <c:ptCount val="1"/>
                <c:pt idx="0">
                  <c:v>その他の一般世帯</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1">
                        <a:lumMod val="20000"/>
                        <a:lumOff val="80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世帯構成!$M$9:$M$14</c:f>
              <c:strCache>
                <c:ptCount val="6"/>
                <c:pt idx="0">
                  <c:v>2015年</c:v>
                </c:pt>
                <c:pt idx="1">
                  <c:v>2020年</c:v>
                </c:pt>
                <c:pt idx="2">
                  <c:v>2025年</c:v>
                </c:pt>
                <c:pt idx="3">
                  <c:v>2030年</c:v>
                </c:pt>
                <c:pt idx="4">
                  <c:v>2035年</c:v>
                </c:pt>
                <c:pt idx="5">
                  <c:v>2040年</c:v>
                </c:pt>
              </c:strCache>
            </c:strRef>
          </c:cat>
          <c:val>
            <c:numRef>
              <c:f>世帯構成!$R$9:$R$14</c:f>
              <c:numCache>
                <c:formatCode>0.0%</c:formatCode>
                <c:ptCount val="6"/>
                <c:pt idx="0">
                  <c:v>8.5829959514170037E-2</c:v>
                </c:pt>
                <c:pt idx="1">
                  <c:v>7.7510301453047062E-2</c:v>
                </c:pt>
                <c:pt idx="2">
                  <c:v>7.2759682385350841E-2</c:v>
                </c:pt>
                <c:pt idx="3">
                  <c:v>6.9632942628007399E-2</c:v>
                </c:pt>
                <c:pt idx="4">
                  <c:v>6.747301823595088E-2</c:v>
                </c:pt>
                <c:pt idx="5">
                  <c:v>6.5675656029657623E-2</c:v>
                </c:pt>
              </c:numCache>
            </c:numRef>
          </c:val>
          <c:extLst>
            <c:ext xmlns:c16="http://schemas.microsoft.com/office/drawing/2014/chart" uri="{C3380CC4-5D6E-409C-BE32-E72D297353CC}">
              <c16:uniqueId val="{00000004-4450-426A-890F-7D4718FDAE95}"/>
            </c:ext>
          </c:extLst>
        </c:ser>
        <c:dLbls>
          <c:showLegendKey val="0"/>
          <c:showVal val="0"/>
          <c:showCatName val="0"/>
          <c:showSerName val="0"/>
          <c:showPercent val="0"/>
          <c:showBubbleSize val="0"/>
        </c:dLbls>
        <c:gapWidth val="75"/>
        <c:overlap val="100"/>
        <c:axId val="1772363360"/>
        <c:axId val="1772350880"/>
      </c:barChart>
      <c:catAx>
        <c:axId val="17723633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72350880"/>
        <c:crosses val="autoZero"/>
        <c:auto val="1"/>
        <c:lblAlgn val="ctr"/>
        <c:lblOffset val="100"/>
        <c:noMultiLvlLbl val="0"/>
      </c:catAx>
      <c:valAx>
        <c:axId val="177235088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772363360"/>
        <c:crosses val="autoZero"/>
        <c:crossBetween val="between"/>
      </c:valAx>
      <c:spPr>
        <a:noFill/>
        <a:ln>
          <a:noFill/>
        </a:ln>
        <a:effectLst/>
      </c:spPr>
    </c:plotArea>
    <c:legend>
      <c:legendPos val="b"/>
      <c:layout>
        <c:manualLayout>
          <c:xMode val="edge"/>
          <c:yMode val="edge"/>
          <c:x val="4.7876857749469218E-2"/>
          <c:y val="0.87571052631578961"/>
          <c:w val="0.9"/>
          <c:h val="9.76763888888888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97721784776896E-2"/>
          <c:y val="0.12801340996168584"/>
          <c:w val="0.85396627821522308"/>
          <c:h val="0.72228304597701143"/>
        </c:manualLayout>
      </c:layout>
      <c:barChart>
        <c:barDir val="bar"/>
        <c:grouping val="stacked"/>
        <c:varyColors val="0"/>
        <c:ser>
          <c:idx val="1"/>
          <c:order val="1"/>
          <c:tx>
            <c:strRef>
              <c:f>世帯構成!$D$8</c:f>
              <c:strCache>
                <c:ptCount val="1"/>
                <c:pt idx="0">
                  <c:v>単独世帯</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世帯構成!$B$9:$B$14</c:f>
              <c:strCache>
                <c:ptCount val="6"/>
                <c:pt idx="0">
                  <c:v>2015年</c:v>
                </c:pt>
                <c:pt idx="1">
                  <c:v>2020年</c:v>
                </c:pt>
                <c:pt idx="2">
                  <c:v>2025年</c:v>
                </c:pt>
                <c:pt idx="3">
                  <c:v>2030年</c:v>
                </c:pt>
                <c:pt idx="4">
                  <c:v>2035年</c:v>
                </c:pt>
                <c:pt idx="5">
                  <c:v>2040年</c:v>
                </c:pt>
              </c:strCache>
            </c:strRef>
          </c:cat>
          <c:val>
            <c:numRef>
              <c:f>世帯構成!$D$9:$D$14</c:f>
              <c:numCache>
                <c:formatCode>#,##0_);[Red]\(#,##0\)</c:formatCode>
                <c:ptCount val="6"/>
                <c:pt idx="0">
                  <c:v>7472</c:v>
                </c:pt>
                <c:pt idx="1">
                  <c:v>8469</c:v>
                </c:pt>
                <c:pt idx="2">
                  <c:v>9310</c:v>
                </c:pt>
                <c:pt idx="3">
                  <c:v>10007</c:v>
                </c:pt>
                <c:pt idx="4">
                  <c:v>10552</c:v>
                </c:pt>
                <c:pt idx="5">
                  <c:v>10954</c:v>
                </c:pt>
              </c:numCache>
            </c:numRef>
          </c:val>
          <c:extLst>
            <c:ext xmlns:c16="http://schemas.microsoft.com/office/drawing/2014/chart" uri="{C3380CC4-5D6E-409C-BE32-E72D297353CC}">
              <c16:uniqueId val="{00000001-4FC3-4E14-B60E-D6DF3D5C3AAB}"/>
            </c:ext>
          </c:extLst>
        </c:ser>
        <c:ser>
          <c:idx val="4"/>
          <c:order val="4"/>
          <c:tx>
            <c:strRef>
              <c:f>世帯構成!$G$8</c:f>
              <c:strCache>
                <c:ptCount val="1"/>
                <c:pt idx="0">
                  <c:v>夫婦のみの世帯</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世帯構成!$B$9:$B$14</c:f>
              <c:strCache>
                <c:ptCount val="6"/>
                <c:pt idx="0">
                  <c:v>2015年</c:v>
                </c:pt>
                <c:pt idx="1">
                  <c:v>2020年</c:v>
                </c:pt>
                <c:pt idx="2">
                  <c:v>2025年</c:v>
                </c:pt>
                <c:pt idx="3">
                  <c:v>2030年</c:v>
                </c:pt>
                <c:pt idx="4">
                  <c:v>2035年</c:v>
                </c:pt>
                <c:pt idx="5">
                  <c:v>2040年</c:v>
                </c:pt>
              </c:strCache>
            </c:strRef>
          </c:cat>
          <c:val>
            <c:numRef>
              <c:f>世帯構成!$G$9:$G$14</c:f>
              <c:numCache>
                <c:formatCode>#,##0_);[Red]\(#,##0\)</c:formatCode>
                <c:ptCount val="6"/>
                <c:pt idx="0">
                  <c:v>3499</c:v>
                </c:pt>
                <c:pt idx="1">
                  <c:v>3896</c:v>
                </c:pt>
                <c:pt idx="2">
                  <c:v>4249</c:v>
                </c:pt>
                <c:pt idx="3">
                  <c:v>4565</c:v>
                </c:pt>
                <c:pt idx="4">
                  <c:v>4852</c:v>
                </c:pt>
                <c:pt idx="5">
                  <c:v>5105</c:v>
                </c:pt>
              </c:numCache>
            </c:numRef>
          </c:val>
          <c:extLst>
            <c:ext xmlns:c16="http://schemas.microsoft.com/office/drawing/2014/chart" uri="{C3380CC4-5D6E-409C-BE32-E72D297353CC}">
              <c16:uniqueId val="{00000004-4FC3-4E14-B60E-D6DF3D5C3AAB}"/>
            </c:ext>
          </c:extLst>
        </c:ser>
        <c:ser>
          <c:idx val="5"/>
          <c:order val="5"/>
          <c:tx>
            <c:strRef>
              <c:f>世帯構成!$H$8</c:f>
              <c:strCache>
                <c:ptCount val="1"/>
                <c:pt idx="0">
                  <c:v>夫婦と子から成る世帯</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世帯構成!$B$9:$B$14</c:f>
              <c:strCache>
                <c:ptCount val="6"/>
                <c:pt idx="0">
                  <c:v>2015年</c:v>
                </c:pt>
                <c:pt idx="1">
                  <c:v>2020年</c:v>
                </c:pt>
                <c:pt idx="2">
                  <c:v>2025年</c:v>
                </c:pt>
                <c:pt idx="3">
                  <c:v>2030年</c:v>
                </c:pt>
                <c:pt idx="4">
                  <c:v>2035年</c:v>
                </c:pt>
                <c:pt idx="5">
                  <c:v>2040年</c:v>
                </c:pt>
              </c:strCache>
            </c:strRef>
          </c:cat>
          <c:val>
            <c:numRef>
              <c:f>世帯構成!$H$9:$H$14</c:f>
              <c:numCache>
                <c:formatCode>#,##0_);[Red]\(#,##0\)</c:formatCode>
                <c:ptCount val="6"/>
                <c:pt idx="0">
                  <c:v>6521</c:v>
                </c:pt>
                <c:pt idx="1">
                  <c:v>6897</c:v>
                </c:pt>
                <c:pt idx="2">
                  <c:v>7075</c:v>
                </c:pt>
                <c:pt idx="3">
                  <c:v>7122</c:v>
                </c:pt>
                <c:pt idx="4">
                  <c:v>7083</c:v>
                </c:pt>
                <c:pt idx="5">
                  <c:v>6995</c:v>
                </c:pt>
              </c:numCache>
            </c:numRef>
          </c:val>
          <c:extLst>
            <c:ext xmlns:c16="http://schemas.microsoft.com/office/drawing/2014/chart" uri="{C3380CC4-5D6E-409C-BE32-E72D297353CC}">
              <c16:uniqueId val="{00000005-4FC3-4E14-B60E-D6DF3D5C3AAB}"/>
            </c:ext>
          </c:extLst>
        </c:ser>
        <c:ser>
          <c:idx val="6"/>
          <c:order val="6"/>
          <c:tx>
            <c:strRef>
              <c:f>世帯構成!$I$8</c:f>
              <c:strCache>
                <c:ptCount val="1"/>
                <c:pt idx="0">
                  <c:v>ひとり親と子から成る世帯</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世帯構成!$B$9:$B$14</c:f>
              <c:strCache>
                <c:ptCount val="6"/>
                <c:pt idx="0">
                  <c:v>2015年</c:v>
                </c:pt>
                <c:pt idx="1">
                  <c:v>2020年</c:v>
                </c:pt>
                <c:pt idx="2">
                  <c:v>2025年</c:v>
                </c:pt>
                <c:pt idx="3">
                  <c:v>2030年</c:v>
                </c:pt>
                <c:pt idx="4">
                  <c:v>2035年</c:v>
                </c:pt>
                <c:pt idx="5">
                  <c:v>2040年</c:v>
                </c:pt>
              </c:strCache>
            </c:strRef>
          </c:cat>
          <c:val>
            <c:numRef>
              <c:f>世帯構成!$I$9:$I$14</c:f>
              <c:numCache>
                <c:formatCode>#,##0_);[Red]\(#,##0\)</c:formatCode>
                <c:ptCount val="6"/>
                <c:pt idx="0">
                  <c:v>1701</c:v>
                </c:pt>
                <c:pt idx="1">
                  <c:v>2006</c:v>
                </c:pt>
                <c:pt idx="2">
                  <c:v>2254</c:v>
                </c:pt>
                <c:pt idx="3">
                  <c:v>2436</c:v>
                </c:pt>
                <c:pt idx="4">
                  <c:v>2570</c:v>
                </c:pt>
                <c:pt idx="5">
                  <c:v>2653</c:v>
                </c:pt>
              </c:numCache>
            </c:numRef>
          </c:val>
          <c:extLst>
            <c:ext xmlns:c16="http://schemas.microsoft.com/office/drawing/2014/chart" uri="{C3380CC4-5D6E-409C-BE32-E72D297353CC}">
              <c16:uniqueId val="{00000006-4FC3-4E14-B60E-D6DF3D5C3AAB}"/>
            </c:ext>
          </c:extLst>
        </c:ser>
        <c:ser>
          <c:idx val="7"/>
          <c:order val="7"/>
          <c:tx>
            <c:strRef>
              <c:f>世帯構成!$J$8</c:f>
              <c:strCache>
                <c:ptCount val="1"/>
                <c:pt idx="0">
                  <c:v>その他の一般世帯</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1">
                        <a:lumMod val="20000"/>
                        <a:lumOff val="8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世帯構成!$B$9:$B$14</c:f>
              <c:strCache>
                <c:ptCount val="6"/>
                <c:pt idx="0">
                  <c:v>2015年</c:v>
                </c:pt>
                <c:pt idx="1">
                  <c:v>2020年</c:v>
                </c:pt>
                <c:pt idx="2">
                  <c:v>2025年</c:v>
                </c:pt>
                <c:pt idx="3">
                  <c:v>2030年</c:v>
                </c:pt>
                <c:pt idx="4">
                  <c:v>2035年</c:v>
                </c:pt>
                <c:pt idx="5">
                  <c:v>2040年</c:v>
                </c:pt>
              </c:strCache>
            </c:strRef>
          </c:cat>
          <c:val>
            <c:numRef>
              <c:f>世帯構成!$J$9:$J$14</c:f>
              <c:numCache>
                <c:formatCode>#,##0_);[Red]\(#,##0\)</c:formatCode>
                <c:ptCount val="6"/>
                <c:pt idx="0">
                  <c:v>1802</c:v>
                </c:pt>
                <c:pt idx="1">
                  <c:v>1787</c:v>
                </c:pt>
                <c:pt idx="2">
                  <c:v>1796</c:v>
                </c:pt>
                <c:pt idx="3">
                  <c:v>1806</c:v>
                </c:pt>
                <c:pt idx="4">
                  <c:v>1813</c:v>
                </c:pt>
                <c:pt idx="5">
                  <c:v>1807</c:v>
                </c:pt>
              </c:numCache>
            </c:numRef>
          </c:val>
          <c:extLst>
            <c:ext xmlns:c16="http://schemas.microsoft.com/office/drawing/2014/chart" uri="{C3380CC4-5D6E-409C-BE32-E72D297353CC}">
              <c16:uniqueId val="{00000007-4FC3-4E14-B60E-D6DF3D5C3AAB}"/>
            </c:ext>
          </c:extLst>
        </c:ser>
        <c:dLbls>
          <c:dLblPos val="ctr"/>
          <c:showLegendKey val="0"/>
          <c:showVal val="1"/>
          <c:showCatName val="0"/>
          <c:showSerName val="0"/>
          <c:showPercent val="0"/>
          <c:showBubbleSize val="0"/>
        </c:dLbls>
        <c:gapWidth val="75"/>
        <c:overlap val="100"/>
        <c:axId val="1965292303"/>
        <c:axId val="1965303119"/>
        <c:extLst>
          <c:ext xmlns:c15="http://schemas.microsoft.com/office/drawing/2012/chart" uri="{02D57815-91ED-43cb-92C2-25804820EDAC}">
            <c15:filteredBarSeries>
              <c15:ser>
                <c:idx val="0"/>
                <c:order val="0"/>
                <c:tx>
                  <c:strRef>
                    <c:extLst>
                      <c:ext uri="{02D57815-91ED-43cb-92C2-25804820EDAC}">
                        <c15:formulaRef>
                          <c15:sqref>世帯構成!$C$8</c15:sqref>
                        </c15:formulaRef>
                      </c:ext>
                    </c:extLst>
                    <c:strCache>
                      <c:ptCount val="1"/>
                      <c:pt idx="0">
                        <c:v>世帯総数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世帯構成!$B$9:$B$14</c15:sqref>
                        </c15:formulaRef>
                      </c:ext>
                    </c:extLst>
                    <c:strCache>
                      <c:ptCount val="6"/>
                      <c:pt idx="0">
                        <c:v>2015年</c:v>
                      </c:pt>
                      <c:pt idx="1">
                        <c:v>2020年</c:v>
                      </c:pt>
                      <c:pt idx="2">
                        <c:v>2025年</c:v>
                      </c:pt>
                      <c:pt idx="3">
                        <c:v>2030年</c:v>
                      </c:pt>
                      <c:pt idx="4">
                        <c:v>2035年</c:v>
                      </c:pt>
                      <c:pt idx="5">
                        <c:v>2040年</c:v>
                      </c:pt>
                    </c:strCache>
                  </c:strRef>
                </c:cat>
                <c:val>
                  <c:numRef>
                    <c:extLst>
                      <c:ext uri="{02D57815-91ED-43cb-92C2-25804820EDAC}">
                        <c15:formulaRef>
                          <c15:sqref>世帯構成!$C$9:$C$14</c15:sqref>
                        </c15:formulaRef>
                      </c:ext>
                    </c:extLst>
                    <c:numCache>
                      <c:formatCode>#,##0_);[Red]\(#,##0\)</c:formatCode>
                      <c:ptCount val="6"/>
                      <c:pt idx="0">
                        <c:v>20995</c:v>
                      </c:pt>
                      <c:pt idx="1">
                        <c:v>23055</c:v>
                      </c:pt>
                      <c:pt idx="2">
                        <c:v>24684</c:v>
                      </c:pt>
                      <c:pt idx="3">
                        <c:v>25936</c:v>
                      </c:pt>
                      <c:pt idx="4">
                        <c:v>26870</c:v>
                      </c:pt>
                      <c:pt idx="5">
                        <c:v>27514</c:v>
                      </c:pt>
                    </c:numCache>
                  </c:numRef>
                </c:val>
                <c:extLst>
                  <c:ext xmlns:c16="http://schemas.microsoft.com/office/drawing/2014/chart" uri="{C3380CC4-5D6E-409C-BE32-E72D297353CC}">
                    <c16:uniqueId val="{00000000-4FC3-4E14-B60E-D6DF3D5C3AA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世帯構成!$E$8</c15:sqref>
                        </c15:formulaRef>
                      </c:ext>
                    </c:extLst>
                    <c:strCache>
                      <c:ptCount val="1"/>
                      <c:pt idx="0">
                        <c:v>うち男性単独世帯</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世帯構成!$B$9:$B$14</c15:sqref>
                        </c15:formulaRef>
                      </c:ext>
                    </c:extLst>
                    <c:strCache>
                      <c:ptCount val="6"/>
                      <c:pt idx="0">
                        <c:v>2015年</c:v>
                      </c:pt>
                      <c:pt idx="1">
                        <c:v>2020年</c:v>
                      </c:pt>
                      <c:pt idx="2">
                        <c:v>2025年</c:v>
                      </c:pt>
                      <c:pt idx="3">
                        <c:v>2030年</c:v>
                      </c:pt>
                      <c:pt idx="4">
                        <c:v>2035年</c:v>
                      </c:pt>
                      <c:pt idx="5">
                        <c:v>2040年</c:v>
                      </c:pt>
                    </c:strCache>
                  </c:strRef>
                </c:cat>
                <c:val>
                  <c:numRef>
                    <c:extLst xmlns:c15="http://schemas.microsoft.com/office/drawing/2012/chart">
                      <c:ext xmlns:c15="http://schemas.microsoft.com/office/drawing/2012/chart" uri="{02D57815-91ED-43cb-92C2-25804820EDAC}">
                        <c15:formulaRef>
                          <c15:sqref>世帯構成!$E$9:$E$14</c15:sqref>
                        </c15:formulaRef>
                      </c:ext>
                    </c:extLst>
                    <c:numCache>
                      <c:formatCode>#,##0_);[Red]\(#,##0\)</c:formatCode>
                      <c:ptCount val="6"/>
                      <c:pt idx="0">
                        <c:v>4510</c:v>
                      </c:pt>
                      <c:pt idx="1">
                        <c:v>4980</c:v>
                      </c:pt>
                      <c:pt idx="2">
                        <c:v>5354</c:v>
                      </c:pt>
                      <c:pt idx="3">
                        <c:v>5649</c:v>
                      </c:pt>
                      <c:pt idx="4">
                        <c:v>5861</c:v>
                      </c:pt>
                      <c:pt idx="5">
                        <c:v>5981</c:v>
                      </c:pt>
                    </c:numCache>
                  </c:numRef>
                </c:val>
                <c:extLst xmlns:c15="http://schemas.microsoft.com/office/drawing/2012/chart">
                  <c:ext xmlns:c16="http://schemas.microsoft.com/office/drawing/2014/chart" uri="{C3380CC4-5D6E-409C-BE32-E72D297353CC}">
                    <c16:uniqueId val="{00000002-4FC3-4E14-B60E-D6DF3D5C3AA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世帯構成!$F$8</c15:sqref>
                        </c15:formulaRef>
                      </c:ext>
                    </c:extLst>
                    <c:strCache>
                      <c:ptCount val="1"/>
                      <c:pt idx="0">
                        <c:v>うち女性単独世帯</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世帯構成!$B$9:$B$14</c15:sqref>
                        </c15:formulaRef>
                      </c:ext>
                    </c:extLst>
                    <c:strCache>
                      <c:ptCount val="6"/>
                      <c:pt idx="0">
                        <c:v>2015年</c:v>
                      </c:pt>
                      <c:pt idx="1">
                        <c:v>2020年</c:v>
                      </c:pt>
                      <c:pt idx="2">
                        <c:v>2025年</c:v>
                      </c:pt>
                      <c:pt idx="3">
                        <c:v>2030年</c:v>
                      </c:pt>
                      <c:pt idx="4">
                        <c:v>2035年</c:v>
                      </c:pt>
                      <c:pt idx="5">
                        <c:v>2040年</c:v>
                      </c:pt>
                    </c:strCache>
                  </c:strRef>
                </c:cat>
                <c:val>
                  <c:numRef>
                    <c:extLst xmlns:c15="http://schemas.microsoft.com/office/drawing/2012/chart">
                      <c:ext xmlns:c15="http://schemas.microsoft.com/office/drawing/2012/chart" uri="{02D57815-91ED-43cb-92C2-25804820EDAC}">
                        <c15:formulaRef>
                          <c15:sqref>世帯構成!$F$9:$F$14</c15:sqref>
                        </c15:formulaRef>
                      </c:ext>
                    </c:extLst>
                    <c:numCache>
                      <c:formatCode>#,##0_);[Red]\(#,##0\)</c:formatCode>
                      <c:ptCount val="6"/>
                      <c:pt idx="0">
                        <c:v>2962</c:v>
                      </c:pt>
                      <c:pt idx="1">
                        <c:v>3489</c:v>
                      </c:pt>
                      <c:pt idx="2">
                        <c:v>3956</c:v>
                      </c:pt>
                      <c:pt idx="3">
                        <c:v>4358</c:v>
                      </c:pt>
                      <c:pt idx="4">
                        <c:v>4691</c:v>
                      </c:pt>
                      <c:pt idx="5">
                        <c:v>4973</c:v>
                      </c:pt>
                    </c:numCache>
                  </c:numRef>
                </c:val>
                <c:extLst xmlns:c15="http://schemas.microsoft.com/office/drawing/2012/chart">
                  <c:ext xmlns:c16="http://schemas.microsoft.com/office/drawing/2014/chart" uri="{C3380CC4-5D6E-409C-BE32-E72D297353CC}">
                    <c16:uniqueId val="{00000003-4FC3-4E14-B60E-D6DF3D5C3AAB}"/>
                  </c:ext>
                </c:extLst>
              </c15:ser>
            </c15:filteredBarSeries>
          </c:ext>
        </c:extLst>
      </c:barChart>
      <c:catAx>
        <c:axId val="196529230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65303119"/>
        <c:crosses val="autoZero"/>
        <c:auto val="1"/>
        <c:lblAlgn val="ctr"/>
        <c:lblOffset val="100"/>
        <c:noMultiLvlLbl val="0"/>
      </c:catAx>
      <c:valAx>
        <c:axId val="1965303119"/>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65292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50106841062256E-2"/>
          <c:y val="0.14263742690058479"/>
          <c:w val="0.85815428699444807"/>
          <c:h val="0.7235999025341131"/>
        </c:manualLayout>
      </c:layout>
      <c:barChart>
        <c:barDir val="bar"/>
        <c:grouping val="stacked"/>
        <c:varyColors val="0"/>
        <c:ser>
          <c:idx val="1"/>
          <c:order val="1"/>
          <c:tx>
            <c:strRef>
              <c:f>世帯構成!$E$17</c:f>
              <c:strCache>
                <c:ptCount val="1"/>
                <c:pt idx="0">
                  <c:v>うち男性単独世帯</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世帯構成!$B$18:$B$29</c15:sqref>
                  </c15:fullRef>
                </c:ext>
              </c:extLst>
              <c:f>(世帯構成!$B$19,世帯構成!$B$21,世帯構成!$B$23,世帯構成!$B$25,世帯構成!$B$27,世帯構成!$B$29)</c:f>
              <c:strCache>
                <c:ptCount val="6"/>
                <c:pt idx="0">
                  <c:v>2015年</c:v>
                </c:pt>
                <c:pt idx="1">
                  <c:v>2020年</c:v>
                </c:pt>
                <c:pt idx="2">
                  <c:v>2025年</c:v>
                </c:pt>
                <c:pt idx="3">
                  <c:v>2030年</c:v>
                </c:pt>
                <c:pt idx="4">
                  <c:v>2035年</c:v>
                </c:pt>
                <c:pt idx="5">
                  <c:v>2040年</c:v>
                </c:pt>
              </c:strCache>
            </c:strRef>
          </c:cat>
          <c:val>
            <c:numRef>
              <c:extLst>
                <c:ext xmlns:c15="http://schemas.microsoft.com/office/drawing/2012/chart" uri="{02D57815-91ED-43cb-92C2-25804820EDAC}">
                  <c15:fullRef>
                    <c15:sqref>世帯構成!$E$18:$E$29</c15:sqref>
                  </c15:fullRef>
                </c:ext>
              </c:extLst>
              <c:f>(世帯構成!$E$19,世帯構成!$E$21,世帯構成!$E$23,世帯構成!$E$25,世帯構成!$E$27,世帯構成!$E$29)</c:f>
              <c:numCache>
                <c:formatCode>#,##0_);[Red]\(#,##0\)</c:formatCode>
                <c:ptCount val="6"/>
                <c:pt idx="0">
                  <c:v>525</c:v>
                </c:pt>
                <c:pt idx="1">
                  <c:v>667</c:v>
                </c:pt>
                <c:pt idx="2">
                  <c:v>791</c:v>
                </c:pt>
                <c:pt idx="3">
                  <c:v>974</c:v>
                </c:pt>
                <c:pt idx="4">
                  <c:v>1201</c:v>
                </c:pt>
                <c:pt idx="5">
                  <c:v>1459</c:v>
                </c:pt>
              </c:numCache>
            </c:numRef>
          </c:val>
          <c:extLst>
            <c:ext xmlns:c16="http://schemas.microsoft.com/office/drawing/2014/chart" uri="{C3380CC4-5D6E-409C-BE32-E72D297353CC}">
              <c16:uniqueId val="{00000000-42D5-45C6-B2BC-1A930FA9F8F6}"/>
            </c:ext>
          </c:extLst>
        </c:ser>
        <c:ser>
          <c:idx val="2"/>
          <c:order val="2"/>
          <c:tx>
            <c:strRef>
              <c:f>世帯構成!$F$17</c:f>
              <c:strCache>
                <c:ptCount val="1"/>
                <c:pt idx="0">
                  <c:v>うち女性単独世帯</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世帯構成!$B$18:$B$29</c15:sqref>
                  </c15:fullRef>
                </c:ext>
              </c:extLst>
              <c:f>(世帯構成!$B$19,世帯構成!$B$21,世帯構成!$B$23,世帯構成!$B$25,世帯構成!$B$27,世帯構成!$B$29)</c:f>
              <c:strCache>
                <c:ptCount val="6"/>
                <c:pt idx="0">
                  <c:v>2015年</c:v>
                </c:pt>
                <c:pt idx="1">
                  <c:v>2020年</c:v>
                </c:pt>
                <c:pt idx="2">
                  <c:v>2025年</c:v>
                </c:pt>
                <c:pt idx="3">
                  <c:v>2030年</c:v>
                </c:pt>
                <c:pt idx="4">
                  <c:v>2035年</c:v>
                </c:pt>
                <c:pt idx="5">
                  <c:v>2040年</c:v>
                </c:pt>
              </c:strCache>
            </c:strRef>
          </c:cat>
          <c:val>
            <c:numRef>
              <c:extLst>
                <c:ext xmlns:c15="http://schemas.microsoft.com/office/drawing/2012/chart" uri="{02D57815-91ED-43cb-92C2-25804820EDAC}">
                  <c15:fullRef>
                    <c15:sqref>世帯構成!$F$18:$F$29</c15:sqref>
                  </c15:fullRef>
                </c:ext>
              </c:extLst>
              <c:f>(世帯構成!$F$19,世帯構成!$F$21,世帯構成!$F$23,世帯構成!$F$25,世帯構成!$F$27,世帯構成!$F$29)</c:f>
              <c:numCache>
                <c:formatCode>#,##0_);[Red]\(#,##0\)</c:formatCode>
                <c:ptCount val="6"/>
                <c:pt idx="0">
                  <c:v>958</c:v>
                </c:pt>
                <c:pt idx="1">
                  <c:v>1187</c:v>
                </c:pt>
                <c:pt idx="2">
                  <c:v>1396</c:v>
                </c:pt>
                <c:pt idx="3">
                  <c:v>1610</c:v>
                </c:pt>
                <c:pt idx="4">
                  <c:v>1847</c:v>
                </c:pt>
                <c:pt idx="5">
                  <c:v>2167</c:v>
                </c:pt>
              </c:numCache>
            </c:numRef>
          </c:val>
          <c:extLst>
            <c:ext xmlns:c16="http://schemas.microsoft.com/office/drawing/2014/chart" uri="{C3380CC4-5D6E-409C-BE32-E72D297353CC}">
              <c16:uniqueId val="{00000001-42D5-45C6-B2BC-1A930FA9F8F6}"/>
            </c:ext>
          </c:extLst>
        </c:ser>
        <c:ser>
          <c:idx val="3"/>
          <c:order val="3"/>
          <c:tx>
            <c:strRef>
              <c:f>世帯構成!$G$17</c:f>
              <c:strCache>
                <c:ptCount val="1"/>
                <c:pt idx="0">
                  <c:v>夫婦のみの世帯</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世帯構成!$B$18:$B$29</c15:sqref>
                  </c15:fullRef>
                </c:ext>
              </c:extLst>
              <c:f>(世帯構成!$B$19,世帯構成!$B$21,世帯構成!$B$23,世帯構成!$B$25,世帯構成!$B$27,世帯構成!$B$29)</c:f>
              <c:strCache>
                <c:ptCount val="6"/>
                <c:pt idx="0">
                  <c:v>2015年</c:v>
                </c:pt>
                <c:pt idx="1">
                  <c:v>2020年</c:v>
                </c:pt>
                <c:pt idx="2">
                  <c:v>2025年</c:v>
                </c:pt>
                <c:pt idx="3">
                  <c:v>2030年</c:v>
                </c:pt>
                <c:pt idx="4">
                  <c:v>2035年</c:v>
                </c:pt>
                <c:pt idx="5">
                  <c:v>2040年</c:v>
                </c:pt>
              </c:strCache>
            </c:strRef>
          </c:cat>
          <c:val>
            <c:numRef>
              <c:extLst>
                <c:ext xmlns:c15="http://schemas.microsoft.com/office/drawing/2012/chart" uri="{02D57815-91ED-43cb-92C2-25804820EDAC}">
                  <c15:fullRef>
                    <c15:sqref>世帯構成!$G$18:$G$29</c15:sqref>
                  </c15:fullRef>
                </c:ext>
              </c:extLst>
              <c:f>(世帯構成!$G$19,世帯構成!$G$21,世帯構成!$G$23,世帯構成!$G$25,世帯構成!$G$27,世帯構成!$G$29)</c:f>
              <c:numCache>
                <c:formatCode>#,##0_);[Red]\(#,##0\)</c:formatCode>
                <c:ptCount val="6"/>
                <c:pt idx="0">
                  <c:v>1715</c:v>
                </c:pt>
                <c:pt idx="1">
                  <c:v>1974</c:v>
                </c:pt>
                <c:pt idx="2">
                  <c:v>2115</c:v>
                </c:pt>
                <c:pt idx="3">
                  <c:v>2304</c:v>
                </c:pt>
                <c:pt idx="4">
                  <c:v>2566</c:v>
                </c:pt>
                <c:pt idx="5">
                  <c:v>2946</c:v>
                </c:pt>
              </c:numCache>
            </c:numRef>
          </c:val>
          <c:extLst>
            <c:ext xmlns:c16="http://schemas.microsoft.com/office/drawing/2014/chart" uri="{C3380CC4-5D6E-409C-BE32-E72D297353CC}">
              <c16:uniqueId val="{00000002-42D5-45C6-B2BC-1A930FA9F8F6}"/>
            </c:ext>
          </c:extLst>
        </c:ser>
        <c:dLbls>
          <c:showLegendKey val="0"/>
          <c:showVal val="0"/>
          <c:showCatName val="0"/>
          <c:showSerName val="0"/>
          <c:showPercent val="0"/>
          <c:showBubbleSize val="0"/>
        </c:dLbls>
        <c:gapWidth val="75"/>
        <c:overlap val="100"/>
        <c:axId val="1772379168"/>
        <c:axId val="1772347552"/>
        <c:extLst>
          <c:ext xmlns:c15="http://schemas.microsoft.com/office/drawing/2012/chart" uri="{02D57815-91ED-43cb-92C2-25804820EDAC}">
            <c15:filteredBarSeries>
              <c15:ser>
                <c:idx val="0"/>
                <c:order val="0"/>
                <c:tx>
                  <c:strRef>
                    <c:extLst>
                      <c:ext uri="{02D57815-91ED-43cb-92C2-25804820EDAC}">
                        <c15:formulaRef>
                          <c15:sqref>世帯構成!$D$17</c15:sqref>
                        </c15:formulaRef>
                      </c:ext>
                    </c:extLst>
                    <c:strCache>
                      <c:ptCount val="1"/>
                      <c:pt idx="0">
                        <c:v>単独世帯</c:v>
                      </c:pt>
                    </c:strCache>
                  </c:strRef>
                </c:tx>
                <c:spPr>
                  <a:solidFill>
                    <a:schemeClr val="accent1"/>
                  </a:solidFill>
                  <a:ln>
                    <a:noFill/>
                  </a:ln>
                  <a:effectLst/>
                </c:spPr>
                <c:invertIfNegative val="0"/>
                <c:cat>
                  <c:strRef>
                    <c:extLst>
                      <c:ext uri="{02D57815-91ED-43cb-92C2-25804820EDAC}">
                        <c15:fullRef>
                          <c15:sqref>世帯構成!$B$18:$B$29</c15:sqref>
                        </c15:fullRef>
                        <c15:formulaRef>
                          <c15:sqref>(世帯構成!$B$19,世帯構成!$B$21,世帯構成!$B$23,世帯構成!$B$25,世帯構成!$B$27,世帯構成!$B$29)</c15:sqref>
                        </c15:formulaRef>
                      </c:ext>
                    </c:extLst>
                    <c:strCache>
                      <c:ptCount val="6"/>
                      <c:pt idx="0">
                        <c:v>2015年</c:v>
                      </c:pt>
                      <c:pt idx="1">
                        <c:v>2020年</c:v>
                      </c:pt>
                      <c:pt idx="2">
                        <c:v>2025年</c:v>
                      </c:pt>
                      <c:pt idx="3">
                        <c:v>2030年</c:v>
                      </c:pt>
                      <c:pt idx="4">
                        <c:v>2035年</c:v>
                      </c:pt>
                      <c:pt idx="5">
                        <c:v>2040年</c:v>
                      </c:pt>
                    </c:strCache>
                  </c:strRef>
                </c:cat>
                <c:val>
                  <c:numRef>
                    <c:extLst>
                      <c:ext uri="{02D57815-91ED-43cb-92C2-25804820EDAC}">
                        <c15:fullRef>
                          <c15:sqref>世帯構成!$D$18:$D$29</c15:sqref>
                        </c15:fullRef>
                        <c15:formulaRef>
                          <c15:sqref>(世帯構成!$D$19,世帯構成!$D$21,世帯構成!$D$23,世帯構成!$D$25,世帯構成!$D$27,世帯構成!$D$29)</c15:sqref>
                        </c15:formulaRef>
                      </c:ext>
                    </c:extLst>
                    <c:numCache>
                      <c:formatCode>#,##0_);[Red]\(#,##0\)</c:formatCode>
                      <c:ptCount val="6"/>
                      <c:pt idx="0">
                        <c:v>1483</c:v>
                      </c:pt>
                      <c:pt idx="1">
                        <c:v>1854</c:v>
                      </c:pt>
                      <c:pt idx="2">
                        <c:v>2187</c:v>
                      </c:pt>
                      <c:pt idx="3">
                        <c:v>2584</c:v>
                      </c:pt>
                      <c:pt idx="4">
                        <c:v>3048</c:v>
                      </c:pt>
                      <c:pt idx="5">
                        <c:v>3626</c:v>
                      </c:pt>
                    </c:numCache>
                  </c:numRef>
                </c:val>
                <c:extLst>
                  <c:ext xmlns:c16="http://schemas.microsoft.com/office/drawing/2014/chart" uri="{C3380CC4-5D6E-409C-BE32-E72D297353CC}">
                    <c16:uniqueId val="{00000003-42D5-45C6-B2BC-1A930FA9F8F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世帯構成!$H$17</c15:sqref>
                        </c15:formulaRef>
                      </c:ext>
                    </c:extLst>
                    <c:strCache>
                      <c:ptCount val="1"/>
                      <c:pt idx="0">
                        <c:v>夫婦と子から成る世帯</c:v>
                      </c:pt>
                    </c:strCache>
                  </c:strRef>
                </c:tx>
                <c:spPr>
                  <a:solidFill>
                    <a:schemeClr val="accent5"/>
                  </a:solidFill>
                  <a:ln>
                    <a:noFill/>
                  </a:ln>
                  <a:effectLst/>
                </c:spPr>
                <c:invertIfNegative val="0"/>
                <c:cat>
                  <c:strRef>
                    <c:extLst>
                      <c:ext xmlns:c15="http://schemas.microsoft.com/office/drawing/2012/chart" uri="{02D57815-91ED-43cb-92C2-25804820EDAC}">
                        <c15:fullRef>
                          <c15:sqref>世帯構成!$B$18:$B$29</c15:sqref>
                        </c15:fullRef>
                        <c15:formulaRef>
                          <c15:sqref>(世帯構成!$B$19,世帯構成!$B$21,世帯構成!$B$23,世帯構成!$B$25,世帯構成!$B$27,世帯構成!$B$29)</c15:sqref>
                        </c15:formulaRef>
                      </c:ext>
                    </c:extLst>
                    <c:strCache>
                      <c:ptCount val="6"/>
                      <c:pt idx="0">
                        <c:v>2015年</c:v>
                      </c:pt>
                      <c:pt idx="1">
                        <c:v>2020年</c:v>
                      </c:pt>
                      <c:pt idx="2">
                        <c:v>2025年</c:v>
                      </c:pt>
                      <c:pt idx="3">
                        <c:v>2030年</c:v>
                      </c:pt>
                      <c:pt idx="4">
                        <c:v>2035年</c:v>
                      </c:pt>
                      <c:pt idx="5">
                        <c:v>2040年</c:v>
                      </c:pt>
                    </c:strCache>
                  </c:strRef>
                </c:cat>
                <c:val>
                  <c:numRef>
                    <c:extLst>
                      <c:ext xmlns:c15="http://schemas.microsoft.com/office/drawing/2012/chart" uri="{02D57815-91ED-43cb-92C2-25804820EDAC}">
                        <c15:fullRef>
                          <c15:sqref>世帯構成!$H$18:$H$29</c15:sqref>
                        </c15:fullRef>
                        <c15:formulaRef>
                          <c15:sqref>(世帯構成!$H$19,世帯構成!$H$21,世帯構成!$H$23,世帯構成!$H$25,世帯構成!$H$27,世帯構成!$H$29)</c15:sqref>
                        </c15:formulaRef>
                      </c:ext>
                    </c:extLst>
                    <c:numCache>
                      <c:formatCode>#,##0_);[Red]\(#,##0\)</c:formatCode>
                      <c:ptCount val="6"/>
                      <c:pt idx="0">
                        <c:v>830</c:v>
                      </c:pt>
                      <c:pt idx="1">
                        <c:v>911</c:v>
                      </c:pt>
                      <c:pt idx="2">
                        <c:v>943</c:v>
                      </c:pt>
                      <c:pt idx="3">
                        <c:v>1021</c:v>
                      </c:pt>
                      <c:pt idx="4">
                        <c:v>1137</c:v>
                      </c:pt>
                      <c:pt idx="5">
                        <c:v>1306</c:v>
                      </c:pt>
                    </c:numCache>
                  </c:numRef>
                </c:val>
                <c:extLst xmlns:c15="http://schemas.microsoft.com/office/drawing/2012/chart">
                  <c:ext xmlns:c16="http://schemas.microsoft.com/office/drawing/2014/chart" uri="{C3380CC4-5D6E-409C-BE32-E72D297353CC}">
                    <c16:uniqueId val="{00000004-42D5-45C6-B2BC-1A930FA9F8F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世帯構成!$I$17</c15:sqref>
                        </c15:formulaRef>
                      </c:ext>
                    </c:extLst>
                    <c:strCache>
                      <c:ptCount val="1"/>
                      <c:pt idx="0">
                        <c:v>ひとり親と子から成る世帯</c:v>
                      </c:pt>
                    </c:strCache>
                  </c:strRef>
                </c:tx>
                <c:spPr>
                  <a:solidFill>
                    <a:schemeClr val="accent6"/>
                  </a:solidFill>
                  <a:ln>
                    <a:noFill/>
                  </a:ln>
                  <a:effectLst/>
                </c:spPr>
                <c:invertIfNegative val="0"/>
                <c:cat>
                  <c:strRef>
                    <c:extLst>
                      <c:ext xmlns:c15="http://schemas.microsoft.com/office/drawing/2012/chart" uri="{02D57815-91ED-43cb-92C2-25804820EDAC}">
                        <c15:fullRef>
                          <c15:sqref>世帯構成!$B$18:$B$29</c15:sqref>
                        </c15:fullRef>
                        <c15:formulaRef>
                          <c15:sqref>(世帯構成!$B$19,世帯構成!$B$21,世帯構成!$B$23,世帯構成!$B$25,世帯構成!$B$27,世帯構成!$B$29)</c15:sqref>
                        </c15:formulaRef>
                      </c:ext>
                    </c:extLst>
                    <c:strCache>
                      <c:ptCount val="6"/>
                      <c:pt idx="0">
                        <c:v>2015年</c:v>
                      </c:pt>
                      <c:pt idx="1">
                        <c:v>2020年</c:v>
                      </c:pt>
                      <c:pt idx="2">
                        <c:v>2025年</c:v>
                      </c:pt>
                      <c:pt idx="3">
                        <c:v>2030年</c:v>
                      </c:pt>
                      <c:pt idx="4">
                        <c:v>2035年</c:v>
                      </c:pt>
                      <c:pt idx="5">
                        <c:v>2040年</c:v>
                      </c:pt>
                    </c:strCache>
                  </c:strRef>
                </c:cat>
                <c:val>
                  <c:numRef>
                    <c:extLst>
                      <c:ext xmlns:c15="http://schemas.microsoft.com/office/drawing/2012/chart" uri="{02D57815-91ED-43cb-92C2-25804820EDAC}">
                        <c15:fullRef>
                          <c15:sqref>世帯構成!$I$18:$I$29</c15:sqref>
                        </c15:fullRef>
                        <c15:formulaRef>
                          <c15:sqref>(世帯構成!$I$19,世帯構成!$I$21,世帯構成!$I$23,世帯構成!$I$25,世帯構成!$I$27,世帯構成!$I$29)</c15:sqref>
                        </c15:formulaRef>
                      </c:ext>
                    </c:extLst>
                    <c:numCache>
                      <c:formatCode>#,##0_);[Red]\(#,##0\)</c:formatCode>
                      <c:ptCount val="6"/>
                      <c:pt idx="0">
                        <c:v>381</c:v>
                      </c:pt>
                      <c:pt idx="1">
                        <c:v>460</c:v>
                      </c:pt>
                      <c:pt idx="2">
                        <c:v>526</c:v>
                      </c:pt>
                      <c:pt idx="3">
                        <c:v>601</c:v>
                      </c:pt>
                      <c:pt idx="4">
                        <c:v>679</c:v>
                      </c:pt>
                      <c:pt idx="5">
                        <c:v>763</c:v>
                      </c:pt>
                    </c:numCache>
                  </c:numRef>
                </c:val>
                <c:extLst xmlns:c15="http://schemas.microsoft.com/office/drawing/2012/chart">
                  <c:ext xmlns:c16="http://schemas.microsoft.com/office/drawing/2014/chart" uri="{C3380CC4-5D6E-409C-BE32-E72D297353CC}">
                    <c16:uniqueId val="{00000005-42D5-45C6-B2BC-1A930FA9F8F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世帯構成!$J$17</c15:sqref>
                        </c15:formulaRef>
                      </c:ext>
                    </c:extLst>
                    <c:strCache>
                      <c:ptCount val="1"/>
                      <c:pt idx="0">
                        <c:v>その他の一般世帯</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世帯構成!$B$18:$B$29</c15:sqref>
                        </c15:fullRef>
                        <c15:formulaRef>
                          <c15:sqref>(世帯構成!$B$19,世帯構成!$B$21,世帯構成!$B$23,世帯構成!$B$25,世帯構成!$B$27,世帯構成!$B$29)</c15:sqref>
                        </c15:formulaRef>
                      </c:ext>
                    </c:extLst>
                    <c:strCache>
                      <c:ptCount val="6"/>
                      <c:pt idx="0">
                        <c:v>2015年</c:v>
                      </c:pt>
                      <c:pt idx="1">
                        <c:v>2020年</c:v>
                      </c:pt>
                      <c:pt idx="2">
                        <c:v>2025年</c:v>
                      </c:pt>
                      <c:pt idx="3">
                        <c:v>2030年</c:v>
                      </c:pt>
                      <c:pt idx="4">
                        <c:v>2035年</c:v>
                      </c:pt>
                      <c:pt idx="5">
                        <c:v>2040年</c:v>
                      </c:pt>
                    </c:strCache>
                  </c:strRef>
                </c:cat>
                <c:val>
                  <c:numRef>
                    <c:extLst>
                      <c:ext xmlns:c15="http://schemas.microsoft.com/office/drawing/2012/chart" uri="{02D57815-91ED-43cb-92C2-25804820EDAC}">
                        <c15:fullRef>
                          <c15:sqref>世帯構成!$J$18:$J$29</c15:sqref>
                        </c15:fullRef>
                        <c15:formulaRef>
                          <c15:sqref>(世帯構成!$J$19,世帯構成!$J$21,世帯構成!$J$23,世帯構成!$J$25,世帯構成!$J$27,世帯構成!$J$29)</c15:sqref>
                        </c15:formulaRef>
                      </c:ext>
                    </c:extLst>
                    <c:numCache>
                      <c:formatCode>#,##0_);[Red]\(#,##0\)</c:formatCode>
                      <c:ptCount val="6"/>
                      <c:pt idx="0">
                        <c:v>590</c:v>
                      </c:pt>
                      <c:pt idx="1">
                        <c:v>623</c:v>
                      </c:pt>
                      <c:pt idx="2">
                        <c:v>638</c:v>
                      </c:pt>
                      <c:pt idx="3">
                        <c:v>668</c:v>
                      </c:pt>
                      <c:pt idx="4">
                        <c:v>713</c:v>
                      </c:pt>
                      <c:pt idx="5">
                        <c:v>786</c:v>
                      </c:pt>
                    </c:numCache>
                  </c:numRef>
                </c:val>
                <c:extLst xmlns:c15="http://schemas.microsoft.com/office/drawing/2012/chart">
                  <c:ext xmlns:c16="http://schemas.microsoft.com/office/drawing/2014/chart" uri="{C3380CC4-5D6E-409C-BE32-E72D297353CC}">
                    <c16:uniqueId val="{00000006-42D5-45C6-B2BC-1A930FA9F8F6}"/>
                  </c:ext>
                </c:extLst>
              </c15:ser>
            </c15:filteredBarSeries>
          </c:ext>
        </c:extLst>
      </c:barChart>
      <c:catAx>
        <c:axId val="17723791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72347552"/>
        <c:crosses val="autoZero"/>
        <c:auto val="1"/>
        <c:lblAlgn val="ctr"/>
        <c:lblOffset val="100"/>
        <c:noMultiLvlLbl val="0"/>
      </c:catAx>
      <c:valAx>
        <c:axId val="1772347552"/>
        <c:scaling>
          <c:orientation val="minMax"/>
        </c:scaling>
        <c:delete val="0"/>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72379168"/>
        <c:crosses val="autoZero"/>
        <c:crossBetween val="between"/>
      </c:valAx>
      <c:spPr>
        <a:noFill/>
        <a:ln>
          <a:noFill/>
        </a:ln>
        <a:effectLst/>
      </c:spPr>
    </c:plotArea>
    <c:legend>
      <c:legendPos val="b"/>
      <c:layout>
        <c:manualLayout>
          <c:xMode val="edge"/>
          <c:yMode val="edge"/>
          <c:x val="0.19555631266508972"/>
          <c:y val="0.87861549707602338"/>
          <c:w val="0.60888720533617724"/>
          <c:h val="0.102817251461988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597248702998986E-2"/>
          <c:y val="6.8079922027290449E-2"/>
          <c:w val="0.88286074625965227"/>
          <c:h val="0.79196832358674463"/>
        </c:manualLayout>
      </c:layout>
      <c:barChart>
        <c:barDir val="bar"/>
        <c:grouping val="percentStacked"/>
        <c:varyColors val="0"/>
        <c:ser>
          <c:idx val="0"/>
          <c:order val="0"/>
          <c:tx>
            <c:strRef>
              <c:f>世帯構成!$N$31</c:f>
              <c:strCache>
                <c:ptCount val="1"/>
                <c:pt idx="0">
                  <c:v>65ｰ74歳</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世帯構成!$M$32:$M$37</c:f>
              <c:strCache>
                <c:ptCount val="6"/>
                <c:pt idx="0">
                  <c:v>2015年</c:v>
                </c:pt>
                <c:pt idx="1">
                  <c:v>2020年</c:v>
                </c:pt>
                <c:pt idx="2">
                  <c:v>2025年</c:v>
                </c:pt>
                <c:pt idx="3">
                  <c:v>2030年</c:v>
                </c:pt>
                <c:pt idx="4">
                  <c:v>2035年</c:v>
                </c:pt>
                <c:pt idx="5">
                  <c:v>2040年</c:v>
                </c:pt>
              </c:strCache>
            </c:strRef>
          </c:cat>
          <c:val>
            <c:numRef>
              <c:f>世帯構成!$N$32:$N$37</c:f>
              <c:numCache>
                <c:formatCode>0.0%</c:formatCode>
                <c:ptCount val="6"/>
                <c:pt idx="0">
                  <c:v>0.52663519892110588</c:v>
                </c:pt>
                <c:pt idx="1">
                  <c:v>0.46601941747572817</c:v>
                </c:pt>
                <c:pt idx="2">
                  <c:v>0.39003200731595794</c:v>
                </c:pt>
                <c:pt idx="3">
                  <c:v>0.40441176470588236</c:v>
                </c:pt>
                <c:pt idx="4">
                  <c:v>0.45734908136482938</c:v>
                </c:pt>
                <c:pt idx="5">
                  <c:v>0.48814120242691672</c:v>
                </c:pt>
              </c:numCache>
            </c:numRef>
          </c:val>
          <c:extLst>
            <c:ext xmlns:c16="http://schemas.microsoft.com/office/drawing/2014/chart" uri="{C3380CC4-5D6E-409C-BE32-E72D297353CC}">
              <c16:uniqueId val="{00000000-DE4C-4273-8C4A-5D19296F2BFA}"/>
            </c:ext>
          </c:extLst>
        </c:ser>
        <c:ser>
          <c:idx val="1"/>
          <c:order val="1"/>
          <c:tx>
            <c:strRef>
              <c:f>世帯構成!$O$31</c:f>
              <c:strCache>
                <c:ptCount val="1"/>
                <c:pt idx="0">
                  <c:v>75ｰ84歳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世帯構成!$M$32:$M$37</c:f>
              <c:strCache>
                <c:ptCount val="6"/>
                <c:pt idx="0">
                  <c:v>2015年</c:v>
                </c:pt>
                <c:pt idx="1">
                  <c:v>2020年</c:v>
                </c:pt>
                <c:pt idx="2">
                  <c:v>2025年</c:v>
                </c:pt>
                <c:pt idx="3">
                  <c:v>2030年</c:v>
                </c:pt>
                <c:pt idx="4">
                  <c:v>2035年</c:v>
                </c:pt>
                <c:pt idx="5">
                  <c:v>2040年</c:v>
                </c:pt>
              </c:strCache>
            </c:strRef>
          </c:cat>
          <c:val>
            <c:numRef>
              <c:f>世帯構成!$O$32:$O$37</c:f>
              <c:numCache>
                <c:formatCode>0.0%</c:formatCode>
                <c:ptCount val="6"/>
                <c:pt idx="0">
                  <c:v>0.34794335805799054</c:v>
                </c:pt>
                <c:pt idx="1">
                  <c:v>0.38349514563106796</c:v>
                </c:pt>
                <c:pt idx="2">
                  <c:v>0.43667123914037492</c:v>
                </c:pt>
                <c:pt idx="3">
                  <c:v>0.39589783281733748</c:v>
                </c:pt>
                <c:pt idx="4">
                  <c:v>0.32053805774278216</c:v>
                </c:pt>
                <c:pt idx="5">
                  <c:v>0.31522338665195809</c:v>
                </c:pt>
              </c:numCache>
            </c:numRef>
          </c:val>
          <c:extLst>
            <c:ext xmlns:c16="http://schemas.microsoft.com/office/drawing/2014/chart" uri="{C3380CC4-5D6E-409C-BE32-E72D297353CC}">
              <c16:uniqueId val="{00000001-DE4C-4273-8C4A-5D19296F2BFA}"/>
            </c:ext>
          </c:extLst>
        </c:ser>
        <c:ser>
          <c:idx val="2"/>
          <c:order val="2"/>
          <c:tx>
            <c:strRef>
              <c:f>世帯構成!$P$31</c:f>
              <c:strCache>
                <c:ptCount val="1"/>
                <c:pt idx="0">
                  <c:v>85歳以上</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世帯構成!$M$32:$M$37</c:f>
              <c:strCache>
                <c:ptCount val="6"/>
                <c:pt idx="0">
                  <c:v>2015年</c:v>
                </c:pt>
                <c:pt idx="1">
                  <c:v>2020年</c:v>
                </c:pt>
                <c:pt idx="2">
                  <c:v>2025年</c:v>
                </c:pt>
                <c:pt idx="3">
                  <c:v>2030年</c:v>
                </c:pt>
                <c:pt idx="4">
                  <c:v>2035年</c:v>
                </c:pt>
                <c:pt idx="5">
                  <c:v>2040年</c:v>
                </c:pt>
              </c:strCache>
            </c:strRef>
          </c:cat>
          <c:val>
            <c:numRef>
              <c:f>世帯構成!$P$32:$P$37</c:f>
              <c:numCache>
                <c:formatCode>0.0%</c:formatCode>
                <c:ptCount val="6"/>
                <c:pt idx="0">
                  <c:v>0.12542144302090358</c:v>
                </c:pt>
                <c:pt idx="1">
                  <c:v>0.15048543689320387</c:v>
                </c:pt>
                <c:pt idx="2">
                  <c:v>0.17329675354366714</c:v>
                </c:pt>
                <c:pt idx="3">
                  <c:v>0.19969040247678019</c:v>
                </c:pt>
                <c:pt idx="4">
                  <c:v>0.22211286089238846</c:v>
                </c:pt>
                <c:pt idx="5">
                  <c:v>0.19663541092112521</c:v>
                </c:pt>
              </c:numCache>
            </c:numRef>
          </c:val>
          <c:extLst>
            <c:ext xmlns:c16="http://schemas.microsoft.com/office/drawing/2014/chart" uri="{C3380CC4-5D6E-409C-BE32-E72D297353CC}">
              <c16:uniqueId val="{00000002-DE4C-4273-8C4A-5D19296F2BFA}"/>
            </c:ext>
          </c:extLst>
        </c:ser>
        <c:dLbls>
          <c:showLegendKey val="0"/>
          <c:showVal val="0"/>
          <c:showCatName val="0"/>
          <c:showSerName val="0"/>
          <c:showPercent val="0"/>
          <c:showBubbleSize val="0"/>
        </c:dLbls>
        <c:gapWidth val="75"/>
        <c:overlap val="100"/>
        <c:axId val="2131718784"/>
        <c:axId val="2131715040"/>
      </c:barChart>
      <c:catAx>
        <c:axId val="2131718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31715040"/>
        <c:crosses val="autoZero"/>
        <c:auto val="1"/>
        <c:lblAlgn val="ctr"/>
        <c:lblOffset val="100"/>
        <c:noMultiLvlLbl val="0"/>
      </c:catAx>
      <c:valAx>
        <c:axId val="213171504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131718784"/>
        <c:crosses val="autoZero"/>
        <c:crossBetween val="between"/>
      </c:valAx>
      <c:spPr>
        <a:noFill/>
        <a:ln>
          <a:noFill/>
        </a:ln>
        <a:effectLst/>
      </c:spPr>
    </c:plotArea>
    <c:legend>
      <c:legendPos val="b"/>
      <c:layout>
        <c:manualLayout>
          <c:xMode val="edge"/>
          <c:yMode val="edge"/>
          <c:x val="0.32513362657762607"/>
          <c:y val="0.87861549707602338"/>
          <c:w val="0.34117201774025735"/>
          <c:h val="0.102817251461988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3315103825753"/>
          <c:y val="4.9716379676391309E-2"/>
          <c:w val="0.86191535376799555"/>
          <c:h val="0.83458721461045171"/>
        </c:manualLayout>
      </c:layout>
      <c:barChart>
        <c:barDir val="bar"/>
        <c:grouping val="stacked"/>
        <c:varyColors val="0"/>
        <c:ser>
          <c:idx val="0"/>
          <c:order val="0"/>
          <c:tx>
            <c:strRef>
              <c:f>つながりの少ない者!$M$5</c:f>
              <c:strCache>
                <c:ptCount val="1"/>
                <c:pt idx="0">
                  <c:v>高齢男性単独世帯</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つながりの少ない者!$L$6:$L$7</c:f>
              <c:strCache>
                <c:ptCount val="2"/>
                <c:pt idx="0">
                  <c:v>2015年</c:v>
                </c:pt>
                <c:pt idx="1">
                  <c:v>2040年</c:v>
                </c:pt>
              </c:strCache>
            </c:strRef>
          </c:cat>
          <c:val>
            <c:numRef>
              <c:f>つながりの少ない者!$M$6:$M$7</c:f>
              <c:numCache>
                <c:formatCode>#,##0_);[Red]\(#,##0\)</c:formatCode>
                <c:ptCount val="2"/>
                <c:pt idx="0">
                  <c:v>265</c:v>
                </c:pt>
                <c:pt idx="1">
                  <c:v>737</c:v>
                </c:pt>
              </c:numCache>
            </c:numRef>
          </c:val>
          <c:extLst>
            <c:ext xmlns:c16="http://schemas.microsoft.com/office/drawing/2014/chart" uri="{C3380CC4-5D6E-409C-BE32-E72D297353CC}">
              <c16:uniqueId val="{00000000-1218-4A45-9E37-4E055DDE2D1B}"/>
            </c:ext>
          </c:extLst>
        </c:ser>
        <c:ser>
          <c:idx val="1"/>
          <c:order val="1"/>
          <c:tx>
            <c:strRef>
              <c:f>つながりの少ない者!$N$5</c:f>
              <c:strCache>
                <c:ptCount val="1"/>
                <c:pt idx="0">
                  <c:v>高齢女性単身世帯</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つながりの少ない者!$L$6:$L$7</c:f>
              <c:strCache>
                <c:ptCount val="2"/>
                <c:pt idx="0">
                  <c:v>2015年</c:v>
                </c:pt>
                <c:pt idx="1">
                  <c:v>2040年</c:v>
                </c:pt>
              </c:strCache>
            </c:strRef>
          </c:cat>
          <c:val>
            <c:numRef>
              <c:f>つながりの少ない者!$N$6:$N$7</c:f>
              <c:numCache>
                <c:formatCode>#,##0_);[Red]\(#,##0\)</c:formatCode>
                <c:ptCount val="2"/>
                <c:pt idx="0">
                  <c:v>373</c:v>
                </c:pt>
                <c:pt idx="1">
                  <c:v>843</c:v>
                </c:pt>
              </c:numCache>
            </c:numRef>
          </c:val>
          <c:extLst>
            <c:ext xmlns:c16="http://schemas.microsoft.com/office/drawing/2014/chart" uri="{C3380CC4-5D6E-409C-BE32-E72D297353CC}">
              <c16:uniqueId val="{00000001-1218-4A45-9E37-4E055DDE2D1B}"/>
            </c:ext>
          </c:extLst>
        </c:ser>
        <c:ser>
          <c:idx val="2"/>
          <c:order val="2"/>
          <c:tx>
            <c:strRef>
              <c:f>つながりの少ない者!$O$5</c:f>
              <c:strCache>
                <c:ptCount val="1"/>
                <c:pt idx="0">
                  <c:v>夫婦のみ世帯</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つながりの少ない者!$L$6:$L$7</c:f>
              <c:strCache>
                <c:ptCount val="2"/>
                <c:pt idx="0">
                  <c:v>2015年</c:v>
                </c:pt>
                <c:pt idx="1">
                  <c:v>2040年</c:v>
                </c:pt>
              </c:strCache>
            </c:strRef>
          </c:cat>
          <c:val>
            <c:numRef>
              <c:f>つながりの少ない者!$O$6:$O$7</c:f>
              <c:numCache>
                <c:formatCode>#,##0_);[Red]\(#,##0\)</c:formatCode>
                <c:ptCount val="2"/>
                <c:pt idx="0">
                  <c:v>184</c:v>
                </c:pt>
                <c:pt idx="1">
                  <c:v>315</c:v>
                </c:pt>
              </c:numCache>
            </c:numRef>
          </c:val>
          <c:extLst>
            <c:ext xmlns:c16="http://schemas.microsoft.com/office/drawing/2014/chart" uri="{C3380CC4-5D6E-409C-BE32-E72D297353CC}">
              <c16:uniqueId val="{00000002-1218-4A45-9E37-4E055DDE2D1B}"/>
            </c:ext>
          </c:extLst>
        </c:ser>
        <c:dLbls>
          <c:showLegendKey val="0"/>
          <c:showVal val="0"/>
          <c:showCatName val="0"/>
          <c:showSerName val="0"/>
          <c:showPercent val="0"/>
          <c:showBubbleSize val="0"/>
        </c:dLbls>
        <c:gapWidth val="102"/>
        <c:overlap val="100"/>
        <c:axId val="177229023"/>
        <c:axId val="177233599"/>
      </c:barChart>
      <c:barChart>
        <c:barDir val="bar"/>
        <c:grouping val="clustered"/>
        <c:varyColors val="0"/>
        <c:ser>
          <c:idx val="3"/>
          <c:order val="3"/>
          <c:tx>
            <c:strRef>
              <c:f>つながりの少ない者!$P$5</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つながりの少ない者!$L$6:$L$7</c:f>
              <c:strCache>
                <c:ptCount val="2"/>
                <c:pt idx="0">
                  <c:v>2015年</c:v>
                </c:pt>
                <c:pt idx="1">
                  <c:v>2040年</c:v>
                </c:pt>
              </c:strCache>
            </c:strRef>
          </c:cat>
          <c:val>
            <c:numRef>
              <c:f>つながりの少ない者!$P$6:$P$7</c:f>
              <c:numCache>
                <c:formatCode>#,##0_);[Red]\(#,##0\)</c:formatCode>
                <c:ptCount val="2"/>
                <c:pt idx="0">
                  <c:v>822</c:v>
                </c:pt>
                <c:pt idx="1">
                  <c:v>1895</c:v>
                </c:pt>
              </c:numCache>
            </c:numRef>
          </c:val>
          <c:extLst>
            <c:ext xmlns:c16="http://schemas.microsoft.com/office/drawing/2014/chart" uri="{C3380CC4-5D6E-409C-BE32-E72D297353CC}">
              <c16:uniqueId val="{00000003-1218-4A45-9E37-4E055DDE2D1B}"/>
            </c:ext>
          </c:extLst>
        </c:ser>
        <c:dLbls>
          <c:showLegendKey val="0"/>
          <c:showVal val="0"/>
          <c:showCatName val="0"/>
          <c:showSerName val="0"/>
          <c:showPercent val="0"/>
          <c:showBubbleSize val="0"/>
        </c:dLbls>
        <c:gapWidth val="100"/>
        <c:axId val="326982863"/>
        <c:axId val="326989935"/>
      </c:barChart>
      <c:catAx>
        <c:axId val="1772290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7233599"/>
        <c:crosses val="autoZero"/>
        <c:auto val="1"/>
        <c:lblAlgn val="ctr"/>
        <c:lblOffset val="100"/>
        <c:noMultiLvlLbl val="0"/>
      </c:catAx>
      <c:valAx>
        <c:axId val="177233599"/>
        <c:scaling>
          <c:orientation val="minMax"/>
        </c:scaling>
        <c:delete val="1"/>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crossAx val="177229023"/>
        <c:crosses val="autoZero"/>
        <c:crossBetween val="between"/>
      </c:valAx>
      <c:valAx>
        <c:axId val="326989935"/>
        <c:scaling>
          <c:orientation val="minMax"/>
        </c:scaling>
        <c:delete val="1"/>
        <c:axPos val="t"/>
        <c:numFmt formatCode="#,##0_);[Red]\(#,##0\)" sourceLinked="1"/>
        <c:majorTickMark val="out"/>
        <c:minorTickMark val="none"/>
        <c:tickLblPos val="nextTo"/>
        <c:crossAx val="326982863"/>
        <c:crosses val="autoZero"/>
        <c:crossBetween val="between"/>
      </c:valAx>
      <c:catAx>
        <c:axId val="326982863"/>
        <c:scaling>
          <c:orientation val="maxMin"/>
        </c:scaling>
        <c:delete val="1"/>
        <c:axPos val="r"/>
        <c:numFmt formatCode="General" sourceLinked="1"/>
        <c:majorTickMark val="out"/>
        <c:minorTickMark val="none"/>
        <c:tickLblPos val="nextTo"/>
        <c:crossAx val="326989935"/>
        <c:crosses val="max"/>
        <c:auto val="1"/>
        <c:lblAlgn val="ctr"/>
        <c:lblOffset val="100"/>
        <c:noMultiLvlLbl val="0"/>
      </c:catAx>
      <c:spPr>
        <a:noFill/>
        <a:ln>
          <a:noFill/>
        </a:ln>
        <a:effectLst/>
      </c:spPr>
    </c:plotArea>
    <c:legend>
      <c:legendPos val="b"/>
      <c:layout>
        <c:manualLayout>
          <c:xMode val="edge"/>
          <c:yMode val="edge"/>
          <c:x val="0.11461983332018928"/>
          <c:y val="0.83592404854596947"/>
          <c:w val="0.6639720322514181"/>
          <c:h val="0.164076688944243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2887734496326"/>
          <c:y val="4.9772285414541706E-2"/>
          <c:w val="0.86204585485415453"/>
          <c:h val="0.79497104426851228"/>
        </c:manualLayout>
      </c:layout>
      <c:barChart>
        <c:barDir val="bar"/>
        <c:grouping val="stacked"/>
        <c:varyColors val="0"/>
        <c:ser>
          <c:idx val="0"/>
          <c:order val="0"/>
          <c:tx>
            <c:strRef>
              <c:f>つながりの少ない者!$M$13</c:f>
              <c:strCache>
                <c:ptCount val="1"/>
                <c:pt idx="0">
                  <c:v>高齢男性単独世帯</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つながりの少ない者!$L$14:$L$15</c:f>
              <c:strCache>
                <c:ptCount val="2"/>
                <c:pt idx="0">
                  <c:v>2015年</c:v>
                </c:pt>
                <c:pt idx="1">
                  <c:v>2040年</c:v>
                </c:pt>
              </c:strCache>
            </c:strRef>
          </c:cat>
          <c:val>
            <c:numRef>
              <c:f>つながりの少ない者!$M$14:$M$15</c:f>
              <c:numCache>
                <c:formatCode>#,##0_);[Red]\(#,##0\)</c:formatCode>
                <c:ptCount val="2"/>
                <c:pt idx="0">
                  <c:v>239</c:v>
                </c:pt>
                <c:pt idx="1">
                  <c:v>664</c:v>
                </c:pt>
              </c:numCache>
            </c:numRef>
          </c:val>
          <c:extLst>
            <c:ext xmlns:c16="http://schemas.microsoft.com/office/drawing/2014/chart" uri="{C3380CC4-5D6E-409C-BE32-E72D297353CC}">
              <c16:uniqueId val="{00000000-089B-4A54-8CE9-355AD41BC0A0}"/>
            </c:ext>
          </c:extLst>
        </c:ser>
        <c:ser>
          <c:idx val="1"/>
          <c:order val="1"/>
          <c:tx>
            <c:strRef>
              <c:f>つながりの少ない者!$N$13</c:f>
              <c:strCache>
                <c:ptCount val="1"/>
                <c:pt idx="0">
                  <c:v>高齢女性単身世帯</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つながりの少ない者!$L$14:$L$15</c:f>
              <c:strCache>
                <c:ptCount val="2"/>
                <c:pt idx="0">
                  <c:v>2015年</c:v>
                </c:pt>
                <c:pt idx="1">
                  <c:v>2040年</c:v>
                </c:pt>
              </c:strCache>
            </c:strRef>
          </c:cat>
          <c:val>
            <c:numRef>
              <c:f>つながりの少ない者!$N$14:$N$15</c:f>
              <c:numCache>
                <c:formatCode>#,##0_);[Red]\(#,##0\)</c:formatCode>
                <c:ptCount val="2"/>
                <c:pt idx="0">
                  <c:v>194</c:v>
                </c:pt>
                <c:pt idx="1">
                  <c:v>440</c:v>
                </c:pt>
              </c:numCache>
            </c:numRef>
          </c:val>
          <c:extLst>
            <c:ext xmlns:c16="http://schemas.microsoft.com/office/drawing/2014/chart" uri="{C3380CC4-5D6E-409C-BE32-E72D297353CC}">
              <c16:uniqueId val="{00000001-089B-4A54-8CE9-355AD41BC0A0}"/>
            </c:ext>
          </c:extLst>
        </c:ser>
        <c:ser>
          <c:idx val="2"/>
          <c:order val="2"/>
          <c:tx>
            <c:strRef>
              <c:f>つながりの少ない者!$O$13</c:f>
              <c:strCache>
                <c:ptCount val="1"/>
                <c:pt idx="0">
                  <c:v>夫婦のみ世帯</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つながりの少ない者!$L$14:$L$15</c:f>
              <c:strCache>
                <c:ptCount val="2"/>
                <c:pt idx="0">
                  <c:v>2015年</c:v>
                </c:pt>
                <c:pt idx="1">
                  <c:v>2040年</c:v>
                </c:pt>
              </c:strCache>
            </c:strRef>
          </c:cat>
          <c:val>
            <c:numRef>
              <c:f>つながりの少ない者!$O$14:$O$15</c:f>
              <c:numCache>
                <c:formatCode>#,##0_);[Red]\(#,##0\)</c:formatCode>
                <c:ptCount val="2"/>
                <c:pt idx="0">
                  <c:v>252</c:v>
                </c:pt>
                <c:pt idx="1">
                  <c:v>433</c:v>
                </c:pt>
              </c:numCache>
            </c:numRef>
          </c:val>
          <c:extLst>
            <c:ext xmlns:c16="http://schemas.microsoft.com/office/drawing/2014/chart" uri="{C3380CC4-5D6E-409C-BE32-E72D297353CC}">
              <c16:uniqueId val="{00000002-089B-4A54-8CE9-355AD41BC0A0}"/>
            </c:ext>
          </c:extLst>
        </c:ser>
        <c:dLbls>
          <c:showLegendKey val="0"/>
          <c:showVal val="0"/>
          <c:showCatName val="0"/>
          <c:showSerName val="0"/>
          <c:showPercent val="0"/>
          <c:showBubbleSize val="0"/>
        </c:dLbls>
        <c:gapWidth val="102"/>
        <c:overlap val="100"/>
        <c:axId val="177229023"/>
        <c:axId val="177233599"/>
      </c:barChart>
      <c:barChart>
        <c:barDir val="bar"/>
        <c:grouping val="clustered"/>
        <c:varyColors val="0"/>
        <c:ser>
          <c:idx val="3"/>
          <c:order val="3"/>
          <c:tx>
            <c:strRef>
              <c:f>つながりの少ない者!$P$13</c:f>
              <c:strCache>
                <c:ptCount val="1"/>
                <c:pt idx="0">
                  <c:v>合計</c:v>
                </c:pt>
              </c:strCache>
            </c:strRef>
          </c:tx>
          <c:spPr>
            <a:no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4-089B-4A54-8CE9-355AD41BC0A0}"/>
                </c:ext>
              </c:extLst>
            </c:dLbl>
            <c:dLbl>
              <c:idx val="1"/>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5-089B-4A54-8CE9-355AD41BC0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つながりの少ない者!$L$14:$L$15</c:f>
              <c:strCache>
                <c:ptCount val="2"/>
                <c:pt idx="0">
                  <c:v>2015年</c:v>
                </c:pt>
                <c:pt idx="1">
                  <c:v>2040年</c:v>
                </c:pt>
              </c:strCache>
            </c:strRef>
          </c:cat>
          <c:val>
            <c:numRef>
              <c:f>つながりの少ない者!$P$14:$P$15</c:f>
              <c:numCache>
                <c:formatCode>#,##0_);[Red]\(#,##0\)</c:formatCode>
                <c:ptCount val="2"/>
                <c:pt idx="0">
                  <c:v>685</c:v>
                </c:pt>
                <c:pt idx="1">
                  <c:v>1537</c:v>
                </c:pt>
              </c:numCache>
            </c:numRef>
          </c:val>
          <c:extLst>
            <c:ext xmlns:c16="http://schemas.microsoft.com/office/drawing/2014/chart" uri="{C3380CC4-5D6E-409C-BE32-E72D297353CC}">
              <c16:uniqueId val="{00000003-089B-4A54-8CE9-355AD41BC0A0}"/>
            </c:ext>
          </c:extLst>
        </c:ser>
        <c:dLbls>
          <c:showLegendKey val="0"/>
          <c:showVal val="0"/>
          <c:showCatName val="0"/>
          <c:showSerName val="0"/>
          <c:showPercent val="0"/>
          <c:showBubbleSize val="0"/>
        </c:dLbls>
        <c:gapWidth val="102"/>
        <c:axId val="184843615"/>
        <c:axId val="184834463"/>
      </c:barChart>
      <c:catAx>
        <c:axId val="1772290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7233599"/>
        <c:crosses val="autoZero"/>
        <c:auto val="1"/>
        <c:lblAlgn val="ctr"/>
        <c:lblOffset val="100"/>
        <c:noMultiLvlLbl val="0"/>
      </c:catAx>
      <c:valAx>
        <c:axId val="177233599"/>
        <c:scaling>
          <c:orientation val="minMax"/>
        </c:scaling>
        <c:delete val="1"/>
        <c:axPos val="t"/>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crossAx val="177229023"/>
        <c:crosses val="autoZero"/>
        <c:crossBetween val="between"/>
      </c:valAx>
      <c:valAx>
        <c:axId val="184834463"/>
        <c:scaling>
          <c:orientation val="minMax"/>
        </c:scaling>
        <c:delete val="1"/>
        <c:axPos val="t"/>
        <c:numFmt formatCode="#,##0_);[Red]\(#,##0\)" sourceLinked="1"/>
        <c:majorTickMark val="out"/>
        <c:minorTickMark val="none"/>
        <c:tickLblPos val="nextTo"/>
        <c:crossAx val="184843615"/>
        <c:crosses val="autoZero"/>
        <c:crossBetween val="between"/>
      </c:valAx>
      <c:catAx>
        <c:axId val="184843615"/>
        <c:scaling>
          <c:orientation val="maxMin"/>
        </c:scaling>
        <c:delete val="1"/>
        <c:axPos val="r"/>
        <c:numFmt formatCode="General" sourceLinked="1"/>
        <c:majorTickMark val="out"/>
        <c:minorTickMark val="none"/>
        <c:tickLblPos val="nextTo"/>
        <c:crossAx val="184834463"/>
        <c:crosses val="max"/>
        <c:auto val="1"/>
        <c:lblAlgn val="ctr"/>
        <c:lblOffset val="100"/>
        <c:noMultiLvlLbl val="0"/>
      </c:catAx>
      <c:spPr>
        <a:noFill/>
        <a:ln>
          <a:noFill/>
        </a:ln>
        <a:effectLst/>
      </c:spPr>
    </c:plotArea>
    <c:legend>
      <c:legendPos val="b"/>
      <c:layout>
        <c:manualLayout>
          <c:xMode val="edge"/>
          <c:yMode val="edge"/>
          <c:x val="0.11498404854402651"/>
          <c:y val="0.80684065774401525"/>
          <c:w val="0.77003190291194701"/>
          <c:h val="0.13843906721723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2887734496326"/>
          <c:y val="3.8095295231038967E-2"/>
          <c:w val="0.86204585485415453"/>
          <c:h val="0.78464084685541324"/>
        </c:manualLayout>
      </c:layout>
      <c:barChart>
        <c:barDir val="bar"/>
        <c:grouping val="stacked"/>
        <c:varyColors val="0"/>
        <c:ser>
          <c:idx val="0"/>
          <c:order val="0"/>
          <c:tx>
            <c:strRef>
              <c:f>つながりの少ない者!$M$23</c:f>
              <c:strCache>
                <c:ptCount val="1"/>
                <c:pt idx="0">
                  <c:v>高齢男性単独世帯</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つながりの少ない者!$L$24:$L$25</c:f>
              <c:strCache>
                <c:ptCount val="2"/>
                <c:pt idx="0">
                  <c:v>2015年</c:v>
                </c:pt>
                <c:pt idx="1">
                  <c:v>2040年</c:v>
                </c:pt>
              </c:strCache>
            </c:strRef>
          </c:cat>
          <c:val>
            <c:numRef>
              <c:f>つながりの少ない者!$M$24:$M$25</c:f>
              <c:numCache>
                <c:formatCode>#,##0_);[Red]\(#,##0\)</c:formatCode>
                <c:ptCount val="2"/>
                <c:pt idx="0">
                  <c:v>364</c:v>
                </c:pt>
                <c:pt idx="1">
                  <c:v>1013</c:v>
                </c:pt>
              </c:numCache>
            </c:numRef>
          </c:val>
          <c:extLst>
            <c:ext xmlns:c16="http://schemas.microsoft.com/office/drawing/2014/chart" uri="{C3380CC4-5D6E-409C-BE32-E72D297353CC}">
              <c16:uniqueId val="{00000000-1A13-47E0-B95B-A8E31A1F3460}"/>
            </c:ext>
          </c:extLst>
        </c:ser>
        <c:ser>
          <c:idx val="1"/>
          <c:order val="1"/>
          <c:tx>
            <c:strRef>
              <c:f>つながりの少ない者!$N$23</c:f>
              <c:strCache>
                <c:ptCount val="1"/>
                <c:pt idx="0">
                  <c:v>高齢女性単身世帯</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つながりの少ない者!$L$24:$L$25</c:f>
              <c:strCache>
                <c:ptCount val="2"/>
                <c:pt idx="0">
                  <c:v>2015年</c:v>
                </c:pt>
                <c:pt idx="1">
                  <c:v>2040年</c:v>
                </c:pt>
              </c:strCache>
            </c:strRef>
          </c:cat>
          <c:val>
            <c:numRef>
              <c:f>つながりの少ない者!$N$24:$N$25</c:f>
              <c:numCache>
                <c:formatCode>#,##0_);[Red]\(#,##0\)</c:formatCode>
                <c:ptCount val="2"/>
                <c:pt idx="0">
                  <c:v>556</c:v>
                </c:pt>
                <c:pt idx="1">
                  <c:v>1257</c:v>
                </c:pt>
              </c:numCache>
            </c:numRef>
          </c:val>
          <c:extLst>
            <c:ext xmlns:c16="http://schemas.microsoft.com/office/drawing/2014/chart" uri="{C3380CC4-5D6E-409C-BE32-E72D297353CC}">
              <c16:uniqueId val="{00000001-1A13-47E0-B95B-A8E31A1F3460}"/>
            </c:ext>
          </c:extLst>
        </c:ser>
        <c:ser>
          <c:idx val="2"/>
          <c:order val="2"/>
          <c:tx>
            <c:strRef>
              <c:f>つながりの少ない者!$O$23</c:f>
              <c:strCache>
                <c:ptCount val="1"/>
                <c:pt idx="0">
                  <c:v>夫婦のみ世帯</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つながりの少ない者!$L$24:$L$25</c:f>
              <c:strCache>
                <c:ptCount val="2"/>
                <c:pt idx="0">
                  <c:v>2015年</c:v>
                </c:pt>
                <c:pt idx="1">
                  <c:v>2040年</c:v>
                </c:pt>
              </c:strCache>
            </c:strRef>
          </c:cat>
          <c:val>
            <c:numRef>
              <c:f>つながりの少ない者!$O$24:$O$25</c:f>
              <c:numCache>
                <c:formatCode>#,##0_);[Red]\(#,##0\)</c:formatCode>
                <c:ptCount val="2"/>
                <c:pt idx="0" formatCode="General">
                  <c:v>648</c:v>
                </c:pt>
                <c:pt idx="1">
                  <c:v>1114</c:v>
                </c:pt>
              </c:numCache>
            </c:numRef>
          </c:val>
          <c:extLst>
            <c:ext xmlns:c16="http://schemas.microsoft.com/office/drawing/2014/chart" uri="{C3380CC4-5D6E-409C-BE32-E72D297353CC}">
              <c16:uniqueId val="{00000002-1A13-47E0-B95B-A8E31A1F3460}"/>
            </c:ext>
          </c:extLst>
        </c:ser>
        <c:dLbls>
          <c:showLegendKey val="0"/>
          <c:showVal val="0"/>
          <c:showCatName val="0"/>
          <c:showSerName val="0"/>
          <c:showPercent val="0"/>
          <c:showBubbleSize val="0"/>
        </c:dLbls>
        <c:gapWidth val="102"/>
        <c:overlap val="100"/>
        <c:axId val="177229023"/>
        <c:axId val="177233599"/>
      </c:barChart>
      <c:barChart>
        <c:barDir val="bar"/>
        <c:grouping val="clustered"/>
        <c:varyColors val="0"/>
        <c:ser>
          <c:idx val="3"/>
          <c:order val="3"/>
          <c:tx>
            <c:strRef>
              <c:f>つながりの少ない者!$P$23</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つながりの少ない者!$L$24:$L$25</c:f>
              <c:strCache>
                <c:ptCount val="2"/>
                <c:pt idx="0">
                  <c:v>2015年</c:v>
                </c:pt>
                <c:pt idx="1">
                  <c:v>2040年</c:v>
                </c:pt>
              </c:strCache>
            </c:strRef>
          </c:cat>
          <c:val>
            <c:numRef>
              <c:f>つながりの少ない者!$P$24:$P$25</c:f>
              <c:numCache>
                <c:formatCode>#,##0_);[Red]\(#,##0\)</c:formatCode>
                <c:ptCount val="2"/>
                <c:pt idx="0">
                  <c:v>1568</c:v>
                </c:pt>
                <c:pt idx="1">
                  <c:v>3384</c:v>
                </c:pt>
              </c:numCache>
            </c:numRef>
          </c:val>
          <c:extLst>
            <c:ext xmlns:c16="http://schemas.microsoft.com/office/drawing/2014/chart" uri="{C3380CC4-5D6E-409C-BE32-E72D297353CC}">
              <c16:uniqueId val="{00000005-1A13-47E0-B95B-A8E31A1F3460}"/>
            </c:ext>
          </c:extLst>
        </c:ser>
        <c:dLbls>
          <c:showLegendKey val="0"/>
          <c:showVal val="0"/>
          <c:showCatName val="0"/>
          <c:showSerName val="0"/>
          <c:showPercent val="0"/>
          <c:showBubbleSize val="0"/>
        </c:dLbls>
        <c:gapWidth val="102"/>
        <c:axId val="184843615"/>
        <c:axId val="184834463"/>
      </c:barChart>
      <c:catAx>
        <c:axId val="1772290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7233599"/>
        <c:crosses val="autoZero"/>
        <c:auto val="1"/>
        <c:lblAlgn val="ctr"/>
        <c:lblOffset val="100"/>
        <c:noMultiLvlLbl val="0"/>
      </c:catAx>
      <c:valAx>
        <c:axId val="177233599"/>
        <c:scaling>
          <c:orientation val="minMax"/>
        </c:scaling>
        <c:delete val="1"/>
        <c:axPos val="t"/>
        <c:majorGridlines>
          <c:spPr>
            <a:ln w="9525" cap="flat" cmpd="sng" algn="ctr">
              <a:solidFill>
                <a:schemeClr val="tx1">
                  <a:lumMod val="15000"/>
                  <a:lumOff val="85000"/>
                </a:schemeClr>
              </a:solidFill>
              <a:round/>
            </a:ln>
            <a:effectLst/>
          </c:spPr>
        </c:majorGridlines>
        <c:numFmt formatCode="#,##0_);[Red]\(#,##0\)" sourceLinked="1"/>
        <c:majorTickMark val="out"/>
        <c:minorTickMark val="none"/>
        <c:tickLblPos val="nextTo"/>
        <c:crossAx val="177229023"/>
        <c:crosses val="autoZero"/>
        <c:crossBetween val="between"/>
      </c:valAx>
      <c:valAx>
        <c:axId val="184834463"/>
        <c:scaling>
          <c:orientation val="minMax"/>
        </c:scaling>
        <c:delete val="1"/>
        <c:axPos val="t"/>
        <c:numFmt formatCode="#,##0_);[Red]\(#,##0\)" sourceLinked="1"/>
        <c:majorTickMark val="out"/>
        <c:minorTickMark val="none"/>
        <c:tickLblPos val="nextTo"/>
        <c:crossAx val="184843615"/>
        <c:crosses val="autoZero"/>
        <c:crossBetween val="between"/>
      </c:valAx>
      <c:catAx>
        <c:axId val="184843615"/>
        <c:scaling>
          <c:orientation val="maxMin"/>
        </c:scaling>
        <c:delete val="1"/>
        <c:axPos val="r"/>
        <c:numFmt formatCode="General" sourceLinked="1"/>
        <c:majorTickMark val="out"/>
        <c:minorTickMark val="none"/>
        <c:tickLblPos val="nextTo"/>
        <c:crossAx val="184834463"/>
        <c:crosses val="max"/>
        <c:auto val="1"/>
        <c:lblAlgn val="ctr"/>
        <c:lblOffset val="100"/>
        <c:noMultiLvlLbl val="0"/>
      </c:catAx>
      <c:spPr>
        <a:noFill/>
        <a:ln>
          <a:noFill/>
        </a:ln>
        <a:effectLst/>
      </c:spPr>
    </c:plotArea>
    <c:legend>
      <c:legendPos val="b"/>
      <c:layout>
        <c:manualLayout>
          <c:xMode val="edge"/>
          <c:yMode val="edge"/>
          <c:x val="0.11498404854402651"/>
          <c:y val="0.79747720639453412"/>
          <c:w val="0.77003190291194701"/>
          <c:h val="0.158216210298028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209549</xdr:colOff>
      <xdr:row>2</xdr:row>
      <xdr:rowOff>19050</xdr:rowOff>
    </xdr:from>
    <xdr:to>
      <xdr:col>7</xdr:col>
      <xdr:colOff>657224</xdr:colOff>
      <xdr:row>25</xdr:row>
      <xdr:rowOff>167640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9549" y="575310"/>
          <a:ext cx="5568315" cy="523113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各市町村において、包括的支援体制の構築に向けた検討を行う際には、「なぜ自分たちのまちで、包括的な支援体制を構築する必要があるのか」といった目線合わせを行う必要があります。</a:t>
          </a:r>
          <a:endParaRPr kumimoji="1" lang="en-US" altLang="ja-JP" sz="1100"/>
        </a:p>
        <a:p>
          <a:endParaRPr kumimoji="1" lang="en-US" altLang="ja-JP" sz="1100"/>
        </a:p>
        <a:p>
          <a:r>
            <a:rPr kumimoji="1" lang="ja-JP" altLang="en-US" sz="1100"/>
            <a:t>●　包括的な支援体制の構築が必要とされる背景には、高齢化や単身世帯の増加などから、血縁・地縁・社縁など様々な「縁」が希薄化し、社会的孤立が進むなかで、ますます複雑化・複合化した課題を抱える方が増加することが見込まれることにあります。</a:t>
          </a:r>
          <a:endParaRPr kumimoji="1" lang="en-US" altLang="ja-JP" sz="1100"/>
        </a:p>
        <a:p>
          <a:endParaRPr kumimoji="1" lang="en-US" altLang="ja-JP" sz="1100"/>
        </a:p>
        <a:p>
          <a:r>
            <a:rPr kumimoji="1" lang="ja-JP" altLang="en-US" sz="1100"/>
            <a:t>●　そのため、各市町村において、</a:t>
          </a:r>
          <a:r>
            <a:rPr kumimoji="1" lang="en-US" altLang="ja-JP" sz="1100"/>
            <a:t>10</a:t>
          </a:r>
          <a:r>
            <a:rPr kumimoji="1" lang="ja-JP" altLang="en-US" sz="1100"/>
            <a:t>年後、</a:t>
          </a:r>
          <a:r>
            <a:rPr kumimoji="1" lang="en-US" altLang="ja-JP" sz="1100"/>
            <a:t>20</a:t>
          </a:r>
          <a:r>
            <a:rPr kumimoji="1" lang="ja-JP" altLang="en-US" sz="1100"/>
            <a:t>年後に、人口構造、世帯構成の変化等から、様々な「縁」から孤立している者や、ちょっとした手助けを必要とする者がどの程度存在するのかイメージするためのワークシートを作成しました。</a:t>
          </a:r>
          <a:endParaRPr kumimoji="1" lang="en-US" altLang="ja-JP" sz="1100"/>
        </a:p>
        <a:p>
          <a:endParaRPr kumimoji="1" lang="ja-JP" altLang="en-US" sz="1100"/>
        </a:p>
        <a:p>
          <a:r>
            <a:rPr kumimoji="1" lang="ja-JP" altLang="en-US" sz="1100"/>
            <a:t>●　さまざまな施策を講じても、未来の人口構造や世帯構成を大きく変えることは難しいけれど、地域の中で、挨拶ができたり、ちょっとした会話ができる人を増やしていくことはできるかもしれません。</a:t>
          </a:r>
          <a:endParaRPr kumimoji="1" lang="en-US" altLang="ja-JP" sz="1100"/>
        </a:p>
        <a:p>
          <a:endParaRPr kumimoji="1" lang="en-US" altLang="ja-JP" sz="1100"/>
        </a:p>
        <a:p>
          <a:r>
            <a:rPr kumimoji="1" lang="ja-JP" altLang="en-US" sz="1100"/>
            <a:t>●　我がまちの</a:t>
          </a:r>
          <a:r>
            <a:rPr kumimoji="1" lang="en-US" altLang="ja-JP" sz="1100"/>
            <a:t>10</a:t>
          </a:r>
          <a:r>
            <a:rPr kumimoji="1" lang="ja-JP" altLang="en-US" sz="1100"/>
            <a:t>年後、</a:t>
          </a:r>
          <a:r>
            <a:rPr kumimoji="1" lang="en-US" altLang="ja-JP" sz="1100"/>
            <a:t>20</a:t>
          </a:r>
          <a:r>
            <a:rPr kumimoji="1" lang="ja-JP" altLang="en-US" sz="1100"/>
            <a:t>年後のイメージを共有し、どのように人と人とのつながりをつくっていくか、といったことを考えるきっかけになれば幸いです。</a:t>
          </a:r>
        </a:p>
      </xdr:txBody>
    </xdr:sp>
    <xdr:clientData/>
  </xdr:twoCellAnchor>
  <xdr:twoCellAnchor>
    <xdr:from>
      <xdr:col>0</xdr:col>
      <xdr:colOff>196215</xdr:colOff>
      <xdr:row>28</xdr:row>
      <xdr:rowOff>47625</xdr:rowOff>
    </xdr:from>
    <xdr:to>
      <xdr:col>7</xdr:col>
      <xdr:colOff>643890</xdr:colOff>
      <xdr:row>35</xdr:row>
      <xdr:rowOff>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96215" y="6349365"/>
          <a:ext cx="5568315" cy="152209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本ワークシートの留意点</a:t>
          </a:r>
          <a:endParaRPr kumimoji="1" lang="en-US" altLang="ja-JP" sz="1100"/>
        </a:p>
        <a:p>
          <a:r>
            <a:rPr kumimoji="1" lang="ja-JP" altLang="en-US" sz="1100"/>
            <a:t>・本ワークシートで算出される推計値については、</a:t>
          </a:r>
          <a:r>
            <a:rPr kumimoji="1" lang="ja-JP" altLang="ja-JP" sz="1100">
              <a:solidFill>
                <a:schemeClr val="dk1"/>
              </a:solidFill>
              <a:effectLst/>
              <a:latin typeface="+mn-lt"/>
              <a:ea typeface="+mn-ea"/>
              <a:cs typeface="+mn-cs"/>
            </a:rPr>
            <a:t>あくまでも、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年後の姿をイメージして</a:t>
          </a:r>
          <a:r>
            <a:rPr kumimoji="1" lang="ja-JP" altLang="en-US" sz="1100">
              <a:solidFill>
                <a:schemeClr val="dk1"/>
              </a:solidFill>
              <a:effectLst/>
              <a:latin typeface="+mn-lt"/>
              <a:ea typeface="+mn-ea"/>
              <a:cs typeface="+mn-cs"/>
            </a:rPr>
            <a:t>いただくために作成したものであり、</a:t>
          </a:r>
          <a:r>
            <a:rPr kumimoji="1" lang="ja-JP" altLang="en-US" sz="1100"/>
            <a:t>一定の仮定を置いた粗い推計値となっています。統計的な正確性などを担保しているものではありませんので、ご留意ください。</a:t>
          </a:r>
          <a:endParaRPr kumimoji="1" lang="en-US" altLang="ja-JP" sz="1100"/>
        </a:p>
      </xdr:txBody>
    </xdr:sp>
    <xdr:clientData/>
  </xdr:twoCellAnchor>
  <xdr:twoCellAnchor editAs="oneCell">
    <xdr:from>
      <xdr:col>4</xdr:col>
      <xdr:colOff>666750</xdr:colOff>
      <xdr:row>35</xdr:row>
      <xdr:rowOff>57149</xdr:rowOff>
    </xdr:from>
    <xdr:to>
      <xdr:col>7</xdr:col>
      <xdr:colOff>571500</xdr:colOff>
      <xdr:row>38</xdr:row>
      <xdr:rowOff>119379</xdr:rowOff>
    </xdr:to>
    <xdr:pic>
      <xdr:nvPicPr>
        <xdr:cNvPr id="5" name="図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a:fillRect/>
        </a:stretch>
      </xdr:blipFill>
      <xdr:spPr>
        <a:xfrm>
          <a:off x="3714750" y="8467724"/>
          <a:ext cx="2190750" cy="776605"/>
        </a:xfrm>
        <a:prstGeom prst="rect">
          <a:avLst/>
        </a:prstGeom>
      </xdr:spPr>
    </xdr:pic>
    <xdr:clientData/>
  </xdr:twoCellAnchor>
  <xdr:twoCellAnchor>
    <xdr:from>
      <xdr:col>0</xdr:col>
      <xdr:colOff>333375</xdr:colOff>
      <xdr:row>40</xdr:row>
      <xdr:rowOff>66674</xdr:rowOff>
    </xdr:from>
    <xdr:to>
      <xdr:col>7</xdr:col>
      <xdr:colOff>428625</xdr:colOff>
      <xdr:row>66</xdr:row>
      <xdr:rowOff>152400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33375" y="9043034"/>
          <a:ext cx="5215890" cy="583120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作成方法</a:t>
          </a:r>
          <a:r>
            <a:rPr kumimoji="1" lang="en-US" altLang="ja-JP" sz="1100"/>
            <a:t>】</a:t>
          </a:r>
        </a:p>
        <a:p>
          <a:r>
            <a:rPr kumimoji="1" lang="ja-JP" altLang="en-US" sz="1100"/>
            <a:t>①　国立社会保障・人口問題研究所が公表している</a:t>
          </a:r>
          <a:r>
            <a:rPr kumimoji="1" lang="en-US" altLang="ja-JP" sz="1100"/>
            <a:t>『</a:t>
          </a:r>
          <a:r>
            <a:rPr kumimoji="1" lang="ja-JP" altLang="en-US" sz="1100"/>
            <a:t>日本の地域別将来推計人口（平成</a:t>
          </a:r>
          <a:r>
            <a:rPr kumimoji="1" lang="en-US" altLang="ja-JP" sz="1100"/>
            <a:t>30</a:t>
          </a:r>
          <a:r>
            <a:rPr kumimoji="1" lang="ja-JP" altLang="en-US" sz="1100"/>
            <a:t>（</a:t>
          </a:r>
          <a:r>
            <a:rPr kumimoji="1" lang="en-US" altLang="ja-JP" sz="1100"/>
            <a:t>2018</a:t>
          </a:r>
          <a:r>
            <a:rPr kumimoji="1" lang="ja-JP" altLang="en-US" sz="1100"/>
            <a:t>）年推計）</a:t>
          </a:r>
          <a:r>
            <a:rPr kumimoji="1" lang="en-US" altLang="ja-JP" sz="1100"/>
            <a:t>』</a:t>
          </a:r>
          <a:r>
            <a:rPr kumimoji="1" lang="ja-JP" altLang="en-US" sz="1100"/>
            <a:t>（下記）</a:t>
          </a:r>
          <a:r>
            <a:rPr kumimoji="1" lang="ja-JP" altLang="ja-JP" sz="1100">
              <a:solidFill>
                <a:schemeClr val="dk1"/>
              </a:solidFill>
              <a:effectLst/>
              <a:latin typeface="+mn-lt"/>
              <a:ea typeface="+mn-ea"/>
              <a:cs typeface="+mn-cs"/>
            </a:rPr>
            <a:t>に掲載されている</a:t>
          </a:r>
          <a:r>
            <a:rPr kumimoji="1" lang="en-US" altLang="ja-JP" sz="1100">
              <a:solidFill>
                <a:schemeClr val="dk1"/>
              </a:solidFill>
              <a:effectLst/>
              <a:latin typeface="+mn-lt"/>
              <a:ea typeface="+mn-ea"/>
              <a:cs typeface="+mn-cs"/>
            </a:rPr>
            <a:t>『</a:t>
          </a:r>
          <a:r>
            <a:rPr kumimoji="1" lang="ja-JP" altLang="en-US" sz="1100" u="sng">
              <a:solidFill>
                <a:schemeClr val="dk1"/>
              </a:solidFill>
              <a:effectLst/>
              <a:latin typeface="+mn-lt"/>
              <a:ea typeface="+mn-ea"/>
              <a:cs typeface="+mn-cs"/>
            </a:rPr>
            <a:t>５．</a:t>
          </a:r>
          <a:r>
            <a:rPr kumimoji="1" lang="ja-JP" altLang="en-US" sz="1100" u="sng"/>
            <a:t>男女･年齢（</a:t>
          </a:r>
          <a:r>
            <a:rPr kumimoji="1" lang="en-US" altLang="ja-JP" sz="1100" u="sng"/>
            <a:t>5</a:t>
          </a:r>
          <a:r>
            <a:rPr kumimoji="1" lang="ja-JP" altLang="en-US" sz="1100" u="sng"/>
            <a:t>歳）階級別の推計結果一覧</a:t>
          </a:r>
          <a:r>
            <a:rPr kumimoji="1" lang="en-US" altLang="ja-JP" sz="1100" u="sng"/>
            <a:t>』</a:t>
          </a:r>
          <a:r>
            <a:rPr kumimoji="1" lang="ja-JP" altLang="en-US" sz="1100" u="sng"/>
            <a:t>（</a:t>
          </a:r>
          <a:r>
            <a:rPr kumimoji="1" lang="en-US" altLang="ja-JP" sz="1100" u="sng"/>
            <a:t>Excel</a:t>
          </a:r>
          <a:r>
            <a:rPr kumimoji="1" lang="ja-JP" altLang="en-US" sz="1100" u="sng"/>
            <a:t>ファイル）から、それぞれの市町村のデータ</a:t>
          </a:r>
          <a:r>
            <a:rPr kumimoji="1" lang="ja-JP" altLang="en-US" sz="1100" u="none"/>
            <a:t>を選択</a:t>
          </a:r>
          <a:r>
            <a:rPr kumimoji="1" lang="ja-JP" altLang="en-US" sz="1100"/>
            <a:t>し、赤色のタグがついたシート「地域別男女５歳階級別人口」にデータをコピー</a:t>
          </a:r>
          <a:endParaRPr kumimoji="1" lang="en-US" altLang="ja-JP" sz="1100"/>
        </a:p>
        <a:p>
          <a:endParaRPr kumimoji="1" lang="en-US" altLang="ja-JP" sz="1100"/>
        </a:p>
        <a:p>
          <a:r>
            <a:rPr kumimoji="1" lang="ja-JP" altLang="en-US" sz="1400"/>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日本の地域別将来推計人口（平成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）年推計）</a:t>
          </a:r>
          <a:r>
            <a:rPr kumimoji="1" lang="en-US" altLang="ja-JP" sz="1100">
              <a:solidFill>
                <a:schemeClr val="dk1"/>
              </a:solidFill>
              <a:effectLst/>
              <a:latin typeface="+mn-lt"/>
              <a:ea typeface="+mn-ea"/>
              <a:cs typeface="+mn-cs"/>
            </a:rPr>
            <a:t>』</a:t>
          </a:r>
          <a:endParaRPr kumimoji="1" lang="en-US" altLang="ja-JP" sz="1100"/>
        </a:p>
        <a:p>
          <a:r>
            <a:rPr kumimoji="1" lang="ja-JP" altLang="en-US" sz="1100"/>
            <a:t>　　　</a:t>
          </a:r>
          <a:r>
            <a:rPr kumimoji="1" lang="en-US" altLang="ja-JP" sz="1100"/>
            <a:t>https://www.ipss.go.jp/pp-shicyoson/j/shicyoson18/t-page.asp</a:t>
          </a:r>
        </a:p>
        <a:p>
          <a:endParaRPr kumimoji="1" lang="en-US" altLang="ja-JP" sz="1100"/>
        </a:p>
        <a:p>
          <a:r>
            <a:rPr kumimoji="1" lang="ja-JP" altLang="en-US" sz="1100"/>
            <a:t>②　</a:t>
          </a:r>
          <a:r>
            <a:rPr kumimoji="1" lang="ja-JP" altLang="ja-JP" sz="1100">
              <a:solidFill>
                <a:schemeClr val="dk1"/>
              </a:solidFill>
              <a:effectLst/>
              <a:latin typeface="+mn-lt"/>
              <a:ea typeface="+mn-ea"/>
              <a:cs typeface="+mn-cs"/>
            </a:rPr>
            <a:t>国立社会保障・人口問題研究所が公表している</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日本の世帯数の将来推計（都道府県別推計）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2019</a:t>
          </a:r>
          <a:r>
            <a:rPr kumimoji="1" lang="ja-JP" altLang="en-US" sz="1100">
              <a:solidFill>
                <a:schemeClr val="dk1"/>
              </a:solidFill>
              <a:effectLst/>
              <a:latin typeface="+mn-lt"/>
              <a:ea typeface="+mn-ea"/>
              <a:cs typeface="+mn-cs"/>
            </a:rPr>
            <a:t>年推計）（下記）に掲載されている</a:t>
          </a:r>
          <a:r>
            <a:rPr kumimoji="1" lang="en-US" altLang="ja-JP" sz="1100">
              <a:solidFill>
                <a:schemeClr val="dk1"/>
              </a:solidFill>
              <a:effectLst/>
              <a:latin typeface="+mn-lt"/>
              <a:ea typeface="+mn-ea"/>
              <a:cs typeface="+mn-cs"/>
            </a:rPr>
            <a:t>『4. </a:t>
          </a:r>
          <a:r>
            <a:rPr kumimoji="1" lang="ja-JP" altLang="en-US" sz="1100">
              <a:solidFill>
                <a:schemeClr val="dk1"/>
              </a:solidFill>
              <a:effectLst/>
              <a:latin typeface="+mn-lt"/>
              <a:ea typeface="+mn-ea"/>
              <a:cs typeface="+mn-cs"/>
            </a:rPr>
            <a:t>世帯主の男女・年齢</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歳階級別・家族類型別世帯主率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（推計に用いた仮定値の</a:t>
          </a:r>
          <a:r>
            <a:rPr kumimoji="1" lang="en-US" altLang="ja-JP" sz="1100">
              <a:solidFill>
                <a:schemeClr val="dk1"/>
              </a:solidFill>
              <a:effectLst/>
              <a:latin typeface="+mn-lt"/>
              <a:ea typeface="+mn-ea"/>
              <a:cs typeface="+mn-cs"/>
            </a:rPr>
            <a:t>Excel</a:t>
          </a:r>
          <a:r>
            <a:rPr kumimoji="1" lang="ja-JP" altLang="en-US" sz="1100">
              <a:solidFill>
                <a:schemeClr val="dk1"/>
              </a:solidFill>
              <a:effectLst/>
              <a:latin typeface="+mn-lt"/>
              <a:ea typeface="+mn-ea"/>
              <a:cs typeface="+mn-cs"/>
            </a:rPr>
            <a:t>ファイル） のうち、それぞれの</a:t>
          </a:r>
          <a:r>
            <a:rPr kumimoji="1" lang="ja-JP" altLang="en-US" sz="1100" u="sng">
              <a:solidFill>
                <a:schemeClr val="dk1"/>
              </a:solidFill>
              <a:effectLst/>
              <a:latin typeface="+mn-lt"/>
              <a:ea typeface="+mn-ea"/>
              <a:cs typeface="+mn-cs"/>
            </a:rPr>
            <a:t>市町村が所在する都道府県のデータ</a:t>
          </a:r>
          <a:r>
            <a:rPr kumimoji="1" lang="ja-JP" altLang="en-US" sz="1100">
              <a:solidFill>
                <a:schemeClr val="dk1"/>
              </a:solidFill>
              <a:effectLst/>
              <a:latin typeface="+mn-lt"/>
              <a:ea typeface="+mn-ea"/>
              <a:cs typeface="+mn-cs"/>
            </a:rPr>
            <a:t>について、赤色のタグがついたシート「年齢階級別男女別世帯主割合」にデータをコピー</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日本の世帯数の将来推計（都道府県別推計）</a:t>
          </a:r>
          <a:r>
            <a:rPr kumimoji="1" lang="en-US" altLang="ja-JP" sz="1100">
              <a:solidFill>
                <a:schemeClr val="dk1"/>
              </a:solidFill>
              <a:effectLst/>
              <a:latin typeface="+mn-lt"/>
              <a:ea typeface="+mn-ea"/>
              <a:cs typeface="+mn-cs"/>
            </a:rPr>
            <a:t>』</a:t>
          </a: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https://www.ipss.go.jp/pp-pjsetai/j/hpjp2019/t-page.asp</a:t>
          </a: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後は自動計算されるため、適宜、黄色タグのシートの数値やグラフを共有</a:t>
          </a:r>
          <a:endParaRPr kumimoji="1" lang="en-US" altLang="ja-JP" sz="110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8</xdr:col>
      <xdr:colOff>152400</xdr:colOff>
      <xdr:row>1</xdr:row>
      <xdr:rowOff>114299</xdr:rowOff>
    </xdr:from>
    <xdr:to>
      <xdr:col>15</xdr:col>
      <xdr:colOff>676275</xdr:colOff>
      <xdr:row>33</xdr:row>
      <xdr:rowOff>68580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004560" y="449579"/>
          <a:ext cx="5644515" cy="7048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推計方法</a:t>
          </a:r>
          <a:r>
            <a:rPr kumimoji="1" lang="en-US" altLang="ja-JP" sz="1100"/>
            <a:t>】</a:t>
          </a:r>
        </a:p>
        <a:p>
          <a:r>
            <a:rPr kumimoji="1" lang="ja-JP" altLang="en-US" sz="1100"/>
            <a:t>●　各市町村の世帯数の推計</a:t>
          </a:r>
          <a:endParaRPr kumimoji="1" lang="en-US" altLang="ja-JP" sz="1100"/>
        </a:p>
        <a:p>
          <a:r>
            <a:rPr kumimoji="1" lang="ja-JP" altLang="en-US" sz="1100"/>
            <a:t>　世帯数は、世帯主数に等しいことを利用し、将来推計人口に世帯主率（人口に占める世帯主数の割合）を乗じる</a:t>
          </a:r>
          <a:r>
            <a:rPr kumimoji="1" lang="en-US" altLang="ja-JP" sz="1100"/>
            <a:t>『</a:t>
          </a:r>
          <a:r>
            <a:rPr kumimoji="1" lang="ja-JP" altLang="en-US" sz="1100"/>
            <a:t>世帯主法</a:t>
          </a:r>
          <a:r>
            <a:rPr kumimoji="1" lang="en-US" altLang="ja-JP" sz="1100"/>
            <a:t>』</a:t>
          </a:r>
          <a:r>
            <a:rPr kumimoji="1" lang="ja-JP" altLang="en-US" sz="1100"/>
            <a:t>によって算出した。</a:t>
          </a:r>
          <a:endParaRPr kumimoji="1" lang="en-US" altLang="ja-JP" sz="1100"/>
        </a:p>
        <a:p>
          <a:r>
            <a:rPr kumimoji="1" lang="ja-JP" altLang="en-US" sz="1100"/>
            <a:t>　　　「世帯主法　：世帯数＝世帯主数＝人口</a:t>
          </a:r>
          <a:r>
            <a:rPr kumimoji="1" lang="en-US" altLang="ja-JP" sz="1100"/>
            <a:t>× </a:t>
          </a:r>
          <a:r>
            <a:rPr kumimoji="1" lang="ja-JP" altLang="en-US" sz="1100"/>
            <a:t>世帯主率　」</a:t>
          </a:r>
        </a:p>
        <a:p>
          <a:r>
            <a:rPr kumimoji="1" lang="ja-JP" altLang="en-US" sz="1100"/>
            <a:t>　各市町村の世帯主率は算定されていないため、国立社会保障・人口問題研究所の「日本の世帯数の将来推計（都道府県別推計）」による各市町村が属する都道府県の仮定値と同様に推移すると仮定して算出した。</a:t>
          </a:r>
          <a:endParaRPr kumimoji="1" lang="en-US" altLang="ja-JP" sz="1100"/>
        </a:p>
        <a:p>
          <a:endParaRPr kumimoji="1" lang="en-US" altLang="ja-JP" sz="1100"/>
        </a:p>
        <a:p>
          <a:r>
            <a:rPr kumimoji="1" lang="ja-JP" altLang="en-US" sz="1100"/>
            <a:t>●　生活の支えが必要と思われる高齢者世帯の世帯数の粗い推計方法</a:t>
          </a:r>
          <a:endParaRPr kumimoji="1" lang="en-US" altLang="ja-JP" sz="1100"/>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t>　各市町村における</a:t>
          </a:r>
          <a:r>
            <a:rPr kumimoji="1" lang="ja-JP" altLang="ja-JP" sz="1100">
              <a:solidFill>
                <a:schemeClr val="dk1"/>
              </a:solidFill>
              <a:effectLst/>
              <a:latin typeface="+mn-lt"/>
              <a:ea typeface="+mn-ea"/>
              <a:cs typeface="+mn-cs"/>
            </a:rPr>
            <a:t>男女の高齢単独世帯、高齢夫婦のみ世帯</a:t>
          </a:r>
          <a:r>
            <a:rPr kumimoji="1" lang="ja-JP" altLang="en-US" sz="1100">
              <a:solidFill>
                <a:schemeClr val="dk1"/>
              </a:solidFill>
              <a:effectLst/>
              <a:latin typeface="+mn-lt"/>
              <a:ea typeface="+mn-ea"/>
              <a:cs typeface="+mn-cs"/>
            </a:rPr>
            <a:t>の推計値に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国立社会保障・人口問題研究所が実施した</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生活と支えあいに関する調査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2017</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「会話頻度」が「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日に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回」以下である世帯の割合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「日頃のちょっとした手助け」について「頼れる人がいない」とする世帯の割合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「（子ども以外の）介護や看病」について「頼れる人がいない」とする世帯の割合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を、それぞれ乗じ、生活の支えを要すると考えられる世帯数として算出</a:t>
          </a:r>
          <a:r>
            <a:rPr kumimoji="1" lang="ja-JP" altLang="en-US"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　ひとり親と子から成る世帯において日常の手助けが得られない世帯の粗い推計方法も同様</a:t>
          </a:r>
          <a:endParaRPr lang="ja-JP" altLang="ja-JP" sz="1000">
            <a:effectLst/>
          </a:endParaRPr>
        </a:p>
        <a:p>
          <a:endParaRPr kumimoji="1" lang="en-US" altLang="ja-JP" sz="1100"/>
        </a:p>
        <a:p>
          <a:r>
            <a:rPr kumimoji="1" lang="ja-JP" altLang="en-US" sz="1100"/>
            <a:t>●　ひきこもり</a:t>
          </a:r>
          <a:endParaRPr kumimoji="1" lang="en-US" altLang="ja-JP" sz="1100"/>
        </a:p>
        <a:p>
          <a:pPr rtl="0" eaLnBrk="1" fontAlgn="auto" latinLnBrk="0" hangingPunct="1"/>
          <a:r>
            <a:rPr lang="ja-JP" altLang="en-US" sz="1100" b="0" i="0" baseline="0">
              <a:solidFill>
                <a:schemeClr val="dk1"/>
              </a:solidFill>
              <a:effectLst/>
              <a:latin typeface="+mn-lt"/>
              <a:ea typeface="+mn-ea"/>
              <a:cs typeface="+mn-cs"/>
            </a:rPr>
            <a:t>　各市町村の年齢別人口に、</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内閣府「生活状況に関する調査」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39</a:t>
          </a:r>
          <a:r>
            <a:rPr lang="ja-JP" altLang="en-US" sz="1100" b="0" i="0" baseline="0">
              <a:solidFill>
                <a:schemeClr val="dk1"/>
              </a:solidFill>
              <a:effectLst/>
              <a:latin typeface="+mn-lt"/>
              <a:ea typeface="+mn-ea"/>
              <a:cs typeface="+mn-cs"/>
            </a:rPr>
            <a:t>歳までの者）及び</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内閣府「生活状況に関する調査」</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40</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64</a:t>
          </a:r>
          <a:r>
            <a:rPr lang="ja-JP" altLang="en-US" sz="1100" b="0" i="0" baseline="0">
              <a:solidFill>
                <a:schemeClr val="dk1"/>
              </a:solidFill>
              <a:effectLst/>
              <a:latin typeface="+mn-lt"/>
              <a:ea typeface="+mn-ea"/>
              <a:cs typeface="+mn-cs"/>
            </a:rPr>
            <a:t>歳までの者）により推計された「広義のひきこもり群の出現率」（</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）を乗じて算出した。</a:t>
          </a:r>
          <a:endParaRPr lang="en-US" altLang="ja-JP" sz="1100" b="0" i="0" baseline="0">
            <a:solidFill>
              <a:schemeClr val="dk1"/>
            </a:solidFill>
            <a:effectLst/>
            <a:latin typeface="+mn-lt"/>
            <a:ea typeface="+mn-ea"/>
            <a:cs typeface="+mn-cs"/>
          </a:endParaRPr>
        </a:p>
        <a:p>
          <a:pPr rtl="0" eaLnBrk="1" fontAlgn="auto" latinLnBrk="0" hangingPunct="1"/>
          <a:r>
            <a:rPr lang="en-US"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　広義のひきこもり群：狭義のひきこもり群（自室からは出るが、家からは出ない又は自室からほとんどでない、ふだんは家にいるが、近所のコンビニなどには出かける）「にふだんは家にいるが、自分の趣味に関する用事のときだけ外出する」者をあわせたもの</a:t>
          </a:r>
          <a:endParaRPr lang="en-US" altLang="ja-JP" sz="1050" b="0" i="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3</xdr:row>
      <xdr:rowOff>180975</xdr:rowOff>
    </xdr:from>
    <xdr:to>
      <xdr:col>7</xdr:col>
      <xdr:colOff>449036</xdr:colOff>
      <xdr:row>20</xdr:row>
      <xdr:rowOff>204108</xdr:rowOff>
    </xdr:to>
    <xdr:graphicFrame macro="">
      <xdr:nvGraphicFramePr>
        <xdr:cNvPr id="3" name="グラフ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136071</xdr:colOff>
      <xdr:row>3</xdr:row>
      <xdr:rowOff>180973</xdr:rowOff>
    </xdr:from>
    <xdr:to>
      <xdr:col>15</xdr:col>
      <xdr:colOff>666750</xdr:colOff>
      <xdr:row>20</xdr:row>
      <xdr:rowOff>163286</xdr:rowOff>
    </xdr:to>
    <xdr:graphicFrame macro="">
      <xdr:nvGraphicFramePr>
        <xdr:cNvPr id="6" name="グラフ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185056</xdr:colOff>
      <xdr:row>21</xdr:row>
      <xdr:rowOff>167365</xdr:rowOff>
    </xdr:from>
    <xdr:to>
      <xdr:col>7</xdr:col>
      <xdr:colOff>429986</xdr:colOff>
      <xdr:row>38</xdr:row>
      <xdr:rowOff>51707</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11</xdr:row>
      <xdr:rowOff>28574</xdr:rowOff>
    </xdr:from>
    <xdr:to>
      <xdr:col>9</xdr:col>
      <xdr:colOff>628650</xdr:colOff>
      <xdr:row>19</xdr:row>
      <xdr:rowOff>175574</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xdr:row>
      <xdr:rowOff>0</xdr:rowOff>
    </xdr:from>
    <xdr:to>
      <xdr:col>9</xdr:col>
      <xdr:colOff>619125</xdr:colOff>
      <xdr:row>9</xdr:row>
      <xdr:rowOff>183000</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219074</xdr:colOff>
      <xdr:row>21</xdr:row>
      <xdr:rowOff>9524</xdr:rowOff>
    </xdr:from>
    <xdr:to>
      <xdr:col>9</xdr:col>
      <xdr:colOff>571500</xdr:colOff>
      <xdr:row>29</xdr:row>
      <xdr:rowOff>146999</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38100</xdr:colOff>
      <xdr:row>31</xdr:row>
      <xdr:rowOff>19050</xdr:rowOff>
    </xdr:from>
    <xdr:to>
      <xdr:col>9</xdr:col>
      <xdr:colOff>638174</xdr:colOff>
      <xdr:row>39</xdr:row>
      <xdr:rowOff>166050</xdr:rowOff>
    </xdr:to>
    <xdr:graphicFrame macro="">
      <xdr:nvGraphicFramePr>
        <xdr:cNvPr id="5" name="グラフ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80962</xdr:colOff>
      <xdr:row>2</xdr:row>
      <xdr:rowOff>219076</xdr:rowOff>
    </xdr:from>
    <xdr:to>
      <xdr:col>8</xdr:col>
      <xdr:colOff>590550</xdr:colOff>
      <xdr:row>7</xdr:row>
      <xdr:rowOff>142875</xdr:rowOff>
    </xdr:to>
    <xdr:graphicFrame macro="">
      <xdr:nvGraphicFramePr>
        <xdr:cNvPr id="3" name="グラフ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57150</xdr:colOff>
      <xdr:row>11</xdr:row>
      <xdr:rowOff>228602</xdr:rowOff>
    </xdr:from>
    <xdr:to>
      <xdr:col>8</xdr:col>
      <xdr:colOff>590550</xdr:colOff>
      <xdr:row>16</xdr:row>
      <xdr:rowOff>104775</xdr:rowOff>
    </xdr:to>
    <xdr:graphicFrame macro="">
      <xdr:nvGraphicFramePr>
        <xdr:cNvPr id="4" name="グラフ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21</xdr:row>
      <xdr:rowOff>9527</xdr:rowOff>
    </xdr:from>
    <xdr:to>
      <xdr:col>8</xdr:col>
      <xdr:colOff>619125</xdr:colOff>
      <xdr:row>25</xdr:row>
      <xdr:rowOff>152400</xdr:rowOff>
    </xdr:to>
    <xdr:graphicFrame macro="">
      <xdr:nvGraphicFramePr>
        <xdr:cNvPr id="7" name="グラフ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447675</xdr:colOff>
      <xdr:row>12</xdr:row>
      <xdr:rowOff>95250</xdr:rowOff>
    </xdr:from>
    <xdr:to>
      <xdr:col>3</xdr:col>
      <xdr:colOff>590550</xdr:colOff>
      <xdr:row>14</xdr:row>
      <xdr:rowOff>95250</xdr:rowOff>
    </xdr:to>
    <xdr:sp macro="" textlink="">
      <xdr:nvSpPr>
        <xdr:cNvPr id="2" name="上矢印 1">
          <a:extLst>
            <a:ext uri="{FF2B5EF4-FFF2-40B4-BE49-F238E27FC236}">
              <a16:creationId xmlns:a16="http://schemas.microsoft.com/office/drawing/2014/main" id="{00000000-0008-0000-0600-000002000000}"/>
            </a:ext>
          </a:extLst>
        </xdr:cNvPr>
        <xdr:cNvSpPr/>
      </xdr:nvSpPr>
      <xdr:spPr>
        <a:xfrm>
          <a:off x="1133475" y="2952750"/>
          <a:ext cx="1514475" cy="476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152400</xdr:colOff>
      <xdr:row>4</xdr:row>
      <xdr:rowOff>85725</xdr:rowOff>
    </xdr:from>
    <xdr:to>
      <xdr:col>11</xdr:col>
      <xdr:colOff>657225</xdr:colOff>
      <xdr:row>11</xdr:row>
      <xdr:rowOff>104775</xdr:rowOff>
    </xdr:to>
    <xdr:sp macro="" textlink="">
      <xdr:nvSpPr>
        <xdr:cNvPr id="2" name="左矢印 1">
          <a:extLst>
            <a:ext uri="{FF2B5EF4-FFF2-40B4-BE49-F238E27FC236}">
              <a16:creationId xmlns:a16="http://schemas.microsoft.com/office/drawing/2014/main" id="{00000000-0008-0000-0700-000002000000}"/>
            </a:ext>
          </a:extLst>
        </xdr:cNvPr>
        <xdr:cNvSpPr/>
      </xdr:nvSpPr>
      <xdr:spPr>
        <a:xfrm>
          <a:off x="10153650" y="1038225"/>
          <a:ext cx="504825" cy="1685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ウィスプ">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ウィスプ">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ウィスプ">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Wisp" id="{7CB32D59-10C0-40DD-B7BD-2E94284A981C}" vid="{24B1A44C-C006-48B2-A4D7-E5549B3D8C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ipss.go.jp/pp-shicyoson/j/shicyoson18/t-page.asp"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tabSelected="1" view="pageBreakPreview" zoomScaleNormal="100" zoomScaleSheetLayoutView="100" workbookViewId="0">
      <selection activeCell="A2" sqref="A2"/>
    </sheetView>
  </sheetViews>
  <sheetFormatPr defaultRowHeight="18.75" x14ac:dyDescent="0.45"/>
  <sheetData>
    <row r="1" spans="1:8" ht="24.75" x14ac:dyDescent="0.45">
      <c r="A1" s="115" t="s">
        <v>324</v>
      </c>
      <c r="B1" s="115"/>
      <c r="C1" s="115"/>
      <c r="D1" s="115"/>
      <c r="E1" s="115"/>
      <c r="F1" s="115"/>
      <c r="G1" s="115"/>
      <c r="H1" s="115"/>
    </row>
    <row r="22" spans="2:10" x14ac:dyDescent="0.45">
      <c r="J22" s="87"/>
    </row>
    <row r="31" spans="2:10" ht="19.5" x14ac:dyDescent="0.45">
      <c r="B31" s="81"/>
    </row>
  </sheetData>
  <mergeCells count="1">
    <mergeCell ref="A1:H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S39"/>
  <sheetViews>
    <sheetView showGridLines="0" zoomScaleNormal="100" workbookViewId="0">
      <selection activeCell="O32" sqref="O32"/>
    </sheetView>
  </sheetViews>
  <sheetFormatPr defaultColWidth="8.88671875" defaultRowHeight="13.5" x14ac:dyDescent="0.45"/>
  <cols>
    <col min="1" max="1" width="6.5546875" style="1" customWidth="1"/>
    <col min="2" max="9" width="8.77734375" style="1" customWidth="1"/>
    <col min="10" max="10" width="2.44140625" style="1" customWidth="1"/>
    <col min="11" max="16384" width="8.88671875" style="1"/>
  </cols>
  <sheetData>
    <row r="1" spans="1:19" ht="14.25" customHeight="1" x14ac:dyDescent="0.45">
      <c r="A1" s="75"/>
      <c r="B1" s="81"/>
      <c r="C1" s="75"/>
      <c r="D1" s="75"/>
      <c r="E1" s="75"/>
      <c r="F1" s="75"/>
      <c r="G1" s="75"/>
      <c r="H1" s="75"/>
      <c r="I1" s="75"/>
    </row>
    <row r="2" spans="1:19" ht="24.95" customHeight="1" x14ac:dyDescent="0.45">
      <c r="A2" s="117" t="s">
        <v>0</v>
      </c>
      <c r="B2" s="117"/>
      <c r="C2" s="118" t="str">
        <f>地域別男女５歳階級別人口!D5</f>
        <v>■■市</v>
      </c>
      <c r="D2" s="118"/>
      <c r="E2" s="75"/>
      <c r="F2" s="75"/>
      <c r="G2" s="75"/>
      <c r="H2" s="75"/>
      <c r="I2" s="75"/>
    </row>
    <row r="3" spans="1:19" ht="18" customHeight="1" x14ac:dyDescent="0.45">
      <c r="A3" s="75"/>
      <c r="B3" s="75"/>
      <c r="C3" s="75"/>
      <c r="D3" s="75"/>
      <c r="E3" s="75"/>
      <c r="F3" s="75"/>
      <c r="G3" s="75"/>
      <c r="H3" s="75"/>
      <c r="I3" s="75"/>
    </row>
    <row r="4" spans="1:19" ht="18" customHeight="1" x14ac:dyDescent="0.45">
      <c r="A4" s="75" t="s">
        <v>1</v>
      </c>
      <c r="B4" s="75"/>
      <c r="C4" s="75"/>
      <c r="D4" s="75"/>
      <c r="E4" s="75"/>
      <c r="F4" s="75"/>
      <c r="G4" s="75"/>
      <c r="H4" s="75"/>
      <c r="I4" s="75"/>
    </row>
    <row r="5" spans="1:19" ht="18" customHeight="1" x14ac:dyDescent="0.45">
      <c r="A5" s="76"/>
      <c r="B5" s="91"/>
      <c r="C5" s="92" t="s">
        <v>2</v>
      </c>
      <c r="D5" s="92" t="s">
        <v>3</v>
      </c>
      <c r="E5" s="92" t="s">
        <v>4</v>
      </c>
      <c r="F5" s="92" t="s">
        <v>5</v>
      </c>
      <c r="G5" s="92" t="s">
        <v>6</v>
      </c>
      <c r="H5" s="92" t="s">
        <v>7</v>
      </c>
      <c r="I5" s="92" t="s">
        <v>8</v>
      </c>
    </row>
    <row r="6" spans="1:19" ht="24.95" customHeight="1" x14ac:dyDescent="0.45">
      <c r="A6" s="119" t="s">
        <v>9</v>
      </c>
      <c r="B6" s="120"/>
      <c r="C6" s="69">
        <f>SUM(C11:C15)</f>
        <v>57598</v>
      </c>
      <c r="D6" s="69">
        <f t="shared" ref="D6:I6" si="0">SUM(D11:D15)</f>
        <v>62214</v>
      </c>
      <c r="E6" s="69">
        <f t="shared" si="0"/>
        <v>65514</v>
      </c>
      <c r="F6" s="69">
        <f t="shared" si="0"/>
        <v>67950</v>
      </c>
      <c r="G6" s="69">
        <f t="shared" si="0"/>
        <v>69563</v>
      </c>
      <c r="H6" s="69">
        <f t="shared" si="0"/>
        <v>70432</v>
      </c>
      <c r="I6" s="69">
        <f t="shared" si="0"/>
        <v>70660</v>
      </c>
    </row>
    <row r="7" spans="1:19" ht="18" customHeight="1" x14ac:dyDescent="0.45">
      <c r="A7" s="119" t="s">
        <v>10</v>
      </c>
      <c r="B7" s="120"/>
      <c r="C7" s="70">
        <f>C6/$C$6</f>
        <v>1</v>
      </c>
      <c r="D7" s="70">
        <f t="shared" ref="D7:I7" si="1">D6/$C$6</f>
        <v>1.080141671585819</v>
      </c>
      <c r="E7" s="70">
        <f t="shared" si="1"/>
        <v>1.1374353276155422</v>
      </c>
      <c r="F7" s="70">
        <f t="shared" si="1"/>
        <v>1.1797284627938469</v>
      </c>
      <c r="G7" s="70">
        <f t="shared" si="1"/>
        <v>1.2077329073926177</v>
      </c>
      <c r="H7" s="70">
        <f t="shared" si="1"/>
        <v>1.2228202368137782</v>
      </c>
      <c r="I7" s="70">
        <f t="shared" si="1"/>
        <v>1.2267787075940138</v>
      </c>
      <c r="L7" s="1" t="s">
        <v>11</v>
      </c>
    </row>
    <row r="8" spans="1:19" ht="18" customHeight="1" x14ac:dyDescent="0.45">
      <c r="A8" s="93"/>
      <c r="B8" s="93"/>
      <c r="C8" s="94"/>
      <c r="D8" s="94"/>
      <c r="E8" s="94"/>
      <c r="F8" s="94"/>
      <c r="G8" s="94"/>
      <c r="H8" s="94"/>
      <c r="I8" s="94"/>
    </row>
    <row r="9" spans="1:19" ht="18" customHeight="1" x14ac:dyDescent="0.45">
      <c r="A9" s="75" t="s">
        <v>12</v>
      </c>
      <c r="B9" s="75"/>
      <c r="C9" s="75"/>
      <c r="D9" s="75"/>
      <c r="E9" s="75"/>
      <c r="F9" s="75"/>
      <c r="G9" s="75"/>
      <c r="H9" s="75"/>
      <c r="I9" s="75"/>
    </row>
    <row r="10" spans="1:19" ht="18" customHeight="1" x14ac:dyDescent="0.45">
      <c r="A10" s="95"/>
      <c r="B10" s="78"/>
      <c r="C10" s="92" t="s">
        <v>2</v>
      </c>
      <c r="D10" s="92" t="s">
        <v>3</v>
      </c>
      <c r="E10" s="92" t="s">
        <v>4</v>
      </c>
      <c r="F10" s="92" t="s">
        <v>5</v>
      </c>
      <c r="G10" s="92" t="s">
        <v>6</v>
      </c>
      <c r="H10" s="92" t="s">
        <v>7</v>
      </c>
      <c r="I10" s="92" t="s">
        <v>8</v>
      </c>
      <c r="L10" s="84"/>
      <c r="M10" s="67" t="s">
        <v>2</v>
      </c>
      <c r="N10" s="4" t="s">
        <v>3</v>
      </c>
      <c r="O10" s="4" t="s">
        <v>4</v>
      </c>
      <c r="P10" s="4" t="s">
        <v>5</v>
      </c>
      <c r="Q10" s="4" t="s">
        <v>6</v>
      </c>
      <c r="R10" s="4" t="s">
        <v>7</v>
      </c>
      <c r="S10" s="4" t="s">
        <v>8</v>
      </c>
    </row>
    <row r="11" spans="1:19" ht="18" customHeight="1" x14ac:dyDescent="0.45">
      <c r="A11" s="117" t="s">
        <v>13</v>
      </c>
      <c r="B11" s="89" t="s">
        <v>14</v>
      </c>
      <c r="C11" s="90">
        <f>C16+C21</f>
        <v>13746</v>
      </c>
      <c r="D11" s="90">
        <f t="shared" ref="D11:H11" si="2">D16+D21</f>
        <v>14587</v>
      </c>
      <c r="E11" s="90">
        <f t="shared" si="2"/>
        <v>15111</v>
      </c>
      <c r="F11" s="90">
        <f t="shared" si="2"/>
        <v>15398</v>
      </c>
      <c r="G11" s="90">
        <f t="shared" si="2"/>
        <v>15476</v>
      </c>
      <c r="H11" s="90">
        <f t="shared" si="2"/>
        <v>15353</v>
      </c>
      <c r="I11" s="90">
        <f t="shared" ref="I11" si="3">I16+I21</f>
        <v>15251</v>
      </c>
      <c r="L11" s="68" t="s">
        <v>14</v>
      </c>
      <c r="M11" s="66">
        <f>C11/$C11</f>
        <v>1</v>
      </c>
      <c r="N11" s="66">
        <f t="shared" ref="N11:S15" si="4">D11/$C11</f>
        <v>1.0611814345991561</v>
      </c>
      <c r="O11" s="66">
        <f t="shared" si="4"/>
        <v>1.0993016150152772</v>
      </c>
      <c r="P11" s="66">
        <f t="shared" si="4"/>
        <v>1.1201804161210533</v>
      </c>
      <c r="Q11" s="66">
        <f t="shared" si="4"/>
        <v>1.1258547941219263</v>
      </c>
      <c r="R11" s="66">
        <f t="shared" si="4"/>
        <v>1.116906736505165</v>
      </c>
      <c r="S11" s="66">
        <f t="shared" si="4"/>
        <v>1.109486396042485</v>
      </c>
    </row>
    <row r="12" spans="1:19" ht="18" customHeight="1" x14ac:dyDescent="0.45">
      <c r="A12" s="117"/>
      <c r="B12" s="89" t="s">
        <v>15</v>
      </c>
      <c r="C12" s="90">
        <f t="shared" ref="C12:H12" si="5">C17+C22</f>
        <v>34903</v>
      </c>
      <c r="D12" s="90">
        <f t="shared" si="5"/>
        <v>37155</v>
      </c>
      <c r="E12" s="90">
        <f t="shared" si="5"/>
        <v>38825</v>
      </c>
      <c r="F12" s="90">
        <f t="shared" si="5"/>
        <v>39552</v>
      </c>
      <c r="G12" s="90">
        <f t="shared" si="5"/>
        <v>39346</v>
      </c>
      <c r="H12" s="90">
        <f t="shared" si="5"/>
        <v>38041</v>
      </c>
      <c r="I12" s="90">
        <f t="shared" ref="I12" si="6">I17+I22</f>
        <v>36699</v>
      </c>
      <c r="L12" s="3" t="s">
        <v>15</v>
      </c>
      <c r="M12" s="66">
        <f t="shared" ref="M12:M15" si="7">C12/$C12</f>
        <v>1</v>
      </c>
      <c r="N12" s="66">
        <f t="shared" si="4"/>
        <v>1.06452167435464</v>
      </c>
      <c r="O12" s="66">
        <f t="shared" si="4"/>
        <v>1.1123685643067931</v>
      </c>
      <c r="P12" s="66">
        <f t="shared" si="4"/>
        <v>1.1331977193937484</v>
      </c>
      <c r="Q12" s="66">
        <f t="shared" si="4"/>
        <v>1.1272956479385725</v>
      </c>
      <c r="R12" s="66">
        <f t="shared" si="4"/>
        <v>1.0899063117783572</v>
      </c>
      <c r="S12" s="66">
        <f t="shared" si="4"/>
        <v>1.0514568948227947</v>
      </c>
    </row>
    <row r="13" spans="1:19" ht="18" customHeight="1" x14ac:dyDescent="0.45">
      <c r="A13" s="117"/>
      <c r="B13" s="89" t="s">
        <v>16</v>
      </c>
      <c r="C13" s="90">
        <f t="shared" ref="C13:H13" si="8">C18+C23</f>
        <v>5242</v>
      </c>
      <c r="D13" s="90">
        <f>D18+D23</f>
        <v>5392</v>
      </c>
      <c r="E13" s="90">
        <f t="shared" si="8"/>
        <v>4966</v>
      </c>
      <c r="F13" s="90">
        <f t="shared" si="8"/>
        <v>5615</v>
      </c>
      <c r="G13" s="90">
        <f t="shared" si="8"/>
        <v>6984</v>
      </c>
      <c r="H13" s="90">
        <f t="shared" si="8"/>
        <v>8535</v>
      </c>
      <c r="I13" s="90">
        <f t="shared" ref="I13" si="9">I18+I23</f>
        <v>9010</v>
      </c>
      <c r="L13" s="3" t="s">
        <v>16</v>
      </c>
      <c r="M13" s="66">
        <f t="shared" si="7"/>
        <v>1</v>
      </c>
      <c r="N13" s="66">
        <f t="shared" si="4"/>
        <v>1.02861503243037</v>
      </c>
      <c r="O13" s="66">
        <f t="shared" si="4"/>
        <v>0.94734834032811899</v>
      </c>
      <c r="P13" s="66">
        <f t="shared" si="4"/>
        <v>1.0711560473101869</v>
      </c>
      <c r="Q13" s="66">
        <f t="shared" si="4"/>
        <v>1.3323159099580313</v>
      </c>
      <c r="R13" s="66">
        <f t="shared" si="4"/>
        <v>1.628195345288058</v>
      </c>
      <c r="S13" s="66">
        <f t="shared" si="4"/>
        <v>1.7188096146508967</v>
      </c>
    </row>
    <row r="14" spans="1:19" ht="18" customHeight="1" x14ac:dyDescent="0.45">
      <c r="A14" s="117"/>
      <c r="B14" s="89" t="s">
        <v>17</v>
      </c>
      <c r="C14" s="90">
        <f t="shared" ref="C14:H14" si="10">C19+C24</f>
        <v>2727</v>
      </c>
      <c r="D14" s="90">
        <f t="shared" si="10"/>
        <v>3662</v>
      </c>
      <c r="E14" s="90">
        <f t="shared" si="10"/>
        <v>4707</v>
      </c>
      <c r="F14" s="90">
        <f t="shared" si="10"/>
        <v>4828</v>
      </c>
      <c r="G14" s="90">
        <f t="shared" si="10"/>
        <v>4445</v>
      </c>
      <c r="H14" s="90">
        <f t="shared" si="10"/>
        <v>5020</v>
      </c>
      <c r="I14" s="90">
        <f t="shared" ref="I14" si="11">I19+I24</f>
        <v>6212</v>
      </c>
      <c r="L14" s="3" t="s">
        <v>17</v>
      </c>
      <c r="M14" s="66">
        <f t="shared" si="7"/>
        <v>1</v>
      </c>
      <c r="N14" s="66">
        <f t="shared" si="4"/>
        <v>1.3428676200953429</v>
      </c>
      <c r="O14" s="66">
        <f t="shared" si="4"/>
        <v>1.726072607260726</v>
      </c>
      <c r="P14" s="66">
        <f t="shared" si="4"/>
        <v>1.7704437110377704</v>
      </c>
      <c r="Q14" s="66">
        <f t="shared" si="4"/>
        <v>1.62999633296663</v>
      </c>
      <c r="R14" s="66">
        <f t="shared" si="4"/>
        <v>1.8408507517418409</v>
      </c>
      <c r="S14" s="66">
        <f t="shared" si="4"/>
        <v>2.277961129446278</v>
      </c>
    </row>
    <row r="15" spans="1:19" ht="18" customHeight="1" x14ac:dyDescent="0.45">
      <c r="A15" s="117"/>
      <c r="B15" s="89" t="s">
        <v>18</v>
      </c>
      <c r="C15" s="90">
        <f t="shared" ref="C15:H15" si="12">C20+C25</f>
        <v>980</v>
      </c>
      <c r="D15" s="90">
        <f t="shared" si="12"/>
        <v>1418</v>
      </c>
      <c r="E15" s="90">
        <f t="shared" si="12"/>
        <v>1905</v>
      </c>
      <c r="F15" s="90">
        <f t="shared" si="12"/>
        <v>2557</v>
      </c>
      <c r="G15" s="90">
        <f t="shared" si="12"/>
        <v>3312</v>
      </c>
      <c r="H15" s="90">
        <f t="shared" si="12"/>
        <v>3483</v>
      </c>
      <c r="I15" s="90">
        <f t="shared" ref="I15" si="13">I20+I25</f>
        <v>3488</v>
      </c>
      <c r="L15" s="3" t="s">
        <v>18</v>
      </c>
      <c r="M15" s="66">
        <f t="shared" si="7"/>
        <v>1</v>
      </c>
      <c r="N15" s="66">
        <f t="shared" si="4"/>
        <v>1.4469387755102041</v>
      </c>
      <c r="O15" s="66">
        <f t="shared" si="4"/>
        <v>1.9438775510204083</v>
      </c>
      <c r="P15" s="66">
        <f t="shared" si="4"/>
        <v>2.6091836734693876</v>
      </c>
      <c r="Q15" s="66">
        <f t="shared" si="4"/>
        <v>3.379591836734694</v>
      </c>
      <c r="R15" s="66">
        <f t="shared" si="4"/>
        <v>3.5540816326530611</v>
      </c>
      <c r="S15" s="66">
        <f t="shared" si="4"/>
        <v>3.5591836734693878</v>
      </c>
    </row>
    <row r="16" spans="1:19" ht="18" customHeight="1" x14ac:dyDescent="0.45">
      <c r="A16" s="117" t="s">
        <v>19</v>
      </c>
      <c r="B16" s="89" t="s">
        <v>14</v>
      </c>
      <c r="C16" s="90">
        <f>SUM(人口データテーブル!B21:B24)</f>
        <v>7019</v>
      </c>
      <c r="D16" s="90">
        <f>SUM(人口データテーブル!C21:C24)</f>
        <v>7401</v>
      </c>
      <c r="E16" s="90">
        <f>SUM(人口データテーブル!D21:D24)</f>
        <v>7646</v>
      </c>
      <c r="F16" s="90">
        <f>SUM(人口データテーブル!E21:E24)</f>
        <v>7799</v>
      </c>
      <c r="G16" s="90">
        <f>SUM(人口データテーブル!F21:F24)</f>
        <v>7835</v>
      </c>
      <c r="H16" s="90">
        <f>SUM(人口データテーブル!G21:G24)</f>
        <v>7774</v>
      </c>
      <c r="I16" s="90">
        <f>SUM(人口データテーブル!H21:H24)</f>
        <v>7723</v>
      </c>
    </row>
    <row r="17" spans="1:9" ht="18" customHeight="1" x14ac:dyDescent="0.45">
      <c r="A17" s="117"/>
      <c r="B17" s="80" t="s">
        <v>15</v>
      </c>
      <c r="C17" s="90">
        <f>SUM(人口データテーブル!B25:B33)</f>
        <v>17382</v>
      </c>
      <c r="D17" s="90">
        <f>SUM(人口データテーブル!C25:C33)</f>
        <v>18273</v>
      </c>
      <c r="E17" s="90">
        <f>SUM(人口データテーブル!D25:D33)</f>
        <v>18878</v>
      </c>
      <c r="F17" s="90">
        <f>SUM(人口データテーブル!E25:E33)</f>
        <v>19016</v>
      </c>
      <c r="G17" s="90">
        <f>SUM(人口データテーブル!F25:F33)</f>
        <v>18750</v>
      </c>
      <c r="H17" s="90">
        <f>SUM(人口データテーブル!G25:G33)</f>
        <v>18052</v>
      </c>
      <c r="I17" s="90">
        <f>SUM(人口データテーブル!H25:H33)</f>
        <v>17345</v>
      </c>
    </row>
    <row r="18" spans="1:9" ht="18" customHeight="1" x14ac:dyDescent="0.45">
      <c r="A18" s="117"/>
      <c r="B18" s="89" t="s">
        <v>16</v>
      </c>
      <c r="C18" s="90">
        <f>SUM(人口データテーブル!B34:B35)</f>
        <v>2461</v>
      </c>
      <c r="D18" s="90">
        <f>SUM(人口データテーブル!C34:C35)</f>
        <v>2511</v>
      </c>
      <c r="E18" s="90">
        <f>SUM(人口データテーブル!D34:D35)</f>
        <v>2315</v>
      </c>
      <c r="F18" s="90">
        <f>SUM(人口データテーブル!E34:E35)</f>
        <v>2653</v>
      </c>
      <c r="G18" s="90">
        <f>SUM(人口データテーブル!F34:F35)</f>
        <v>3318</v>
      </c>
      <c r="H18" s="90">
        <f>SUM(人口データテーブル!G34:G35)</f>
        <v>3964</v>
      </c>
      <c r="I18" s="90">
        <f>SUM(人口データテーブル!H34:H35)</f>
        <v>4105</v>
      </c>
    </row>
    <row r="19" spans="1:9" ht="18" customHeight="1" x14ac:dyDescent="0.45">
      <c r="A19" s="117"/>
      <c r="B19" s="89" t="s">
        <v>17</v>
      </c>
      <c r="C19" s="90">
        <f>SUM(人口データテーブル!B36:B37)</f>
        <v>1266</v>
      </c>
      <c r="D19" s="90">
        <f>SUM(人口データテーブル!C36:C37)</f>
        <v>1648</v>
      </c>
      <c r="E19" s="90">
        <f>SUM(人口データテーブル!D36:D37)</f>
        <v>2050</v>
      </c>
      <c r="F19" s="90">
        <f>SUM(人口データテーブル!E36:E37)</f>
        <v>2091</v>
      </c>
      <c r="G19" s="90">
        <f>SUM(人口データテーブル!F36:F37)</f>
        <v>1938</v>
      </c>
      <c r="H19" s="90">
        <f>SUM(人口データテーブル!G36:G37)</f>
        <v>2238</v>
      </c>
      <c r="I19" s="90">
        <f>SUM(人口データテーブル!H36:H37)</f>
        <v>2799</v>
      </c>
    </row>
    <row r="20" spans="1:9" ht="18" customHeight="1" x14ac:dyDescent="0.45">
      <c r="A20" s="117"/>
      <c r="B20" s="89" t="s">
        <v>18</v>
      </c>
      <c r="C20" s="90">
        <f>SUM(人口データテーブル!B38:B39)</f>
        <v>291</v>
      </c>
      <c r="D20" s="90">
        <f>SUM(人口データテーブル!C38:C39)</f>
        <v>471</v>
      </c>
      <c r="E20" s="90">
        <f>SUM(人口データテーブル!D38:D39)</f>
        <v>671</v>
      </c>
      <c r="F20" s="90">
        <f>SUM(人口データテーブル!E38:E39)</f>
        <v>885</v>
      </c>
      <c r="G20" s="90">
        <f>SUM(人口データテーブル!F38:F39)</f>
        <v>1143</v>
      </c>
      <c r="H20" s="90">
        <f>SUM(人口データテーブル!G38:G39)</f>
        <v>1169</v>
      </c>
      <c r="I20" s="90">
        <f>SUM(人口データテーブル!H38:H39)</f>
        <v>1165</v>
      </c>
    </row>
    <row r="21" spans="1:9" ht="18" customHeight="1" x14ac:dyDescent="0.45">
      <c r="A21" s="117" t="s">
        <v>20</v>
      </c>
      <c r="B21" s="89" t="s">
        <v>14</v>
      </c>
      <c r="C21" s="90">
        <f>SUM(人口データテーブル!B40:B43)</f>
        <v>6727</v>
      </c>
      <c r="D21" s="90">
        <f>SUM(人口データテーブル!C40:C43)</f>
        <v>7186</v>
      </c>
      <c r="E21" s="90">
        <f>SUM(人口データテーブル!D40:D43)</f>
        <v>7465</v>
      </c>
      <c r="F21" s="90">
        <f>SUM(人口データテーブル!E40:E43)</f>
        <v>7599</v>
      </c>
      <c r="G21" s="90">
        <f>SUM(人口データテーブル!F40:F43)</f>
        <v>7641</v>
      </c>
      <c r="H21" s="90">
        <f>SUM(人口データテーブル!G40:G43)</f>
        <v>7579</v>
      </c>
      <c r="I21" s="90">
        <f>SUM(人口データテーブル!H40:H43)</f>
        <v>7528</v>
      </c>
    </row>
    <row r="22" spans="1:9" ht="18" customHeight="1" x14ac:dyDescent="0.45">
      <c r="A22" s="117"/>
      <c r="B22" s="89" t="s">
        <v>15</v>
      </c>
      <c r="C22" s="90">
        <f>SUM(人口データテーブル!B44:B52)</f>
        <v>17521</v>
      </c>
      <c r="D22" s="90">
        <f>SUM(人口データテーブル!C44:C52)</f>
        <v>18882</v>
      </c>
      <c r="E22" s="90">
        <f>SUM(人口データテーブル!D44:D52)</f>
        <v>19947</v>
      </c>
      <c r="F22" s="90">
        <f>SUM(人口データテーブル!E44:E52)</f>
        <v>20536</v>
      </c>
      <c r="G22" s="90">
        <f>SUM(人口データテーブル!F44:F52)</f>
        <v>20596</v>
      </c>
      <c r="H22" s="90">
        <f>SUM(人口データテーブル!G44:G52)</f>
        <v>19989</v>
      </c>
      <c r="I22" s="90">
        <f>SUM(人口データテーブル!H44:H52)</f>
        <v>19354</v>
      </c>
    </row>
    <row r="23" spans="1:9" ht="18" customHeight="1" x14ac:dyDescent="0.45">
      <c r="A23" s="117"/>
      <c r="B23" s="89" t="s">
        <v>16</v>
      </c>
      <c r="C23" s="90">
        <f>SUM(人口データテーブル!B53:B54)</f>
        <v>2781</v>
      </c>
      <c r="D23" s="90">
        <f>SUM(人口データテーブル!C53:C54)</f>
        <v>2881</v>
      </c>
      <c r="E23" s="90">
        <f>SUM(人口データテーブル!D53:D54)</f>
        <v>2651</v>
      </c>
      <c r="F23" s="90">
        <f>SUM(人口データテーブル!E53:E54)</f>
        <v>2962</v>
      </c>
      <c r="G23" s="90">
        <f>SUM(人口データテーブル!F53:F54)</f>
        <v>3666</v>
      </c>
      <c r="H23" s="90">
        <f>SUM(人口データテーブル!G53:G54)</f>
        <v>4571</v>
      </c>
      <c r="I23" s="90">
        <f>SUM(人口データテーブル!H53:H54)</f>
        <v>4905</v>
      </c>
    </row>
    <row r="24" spans="1:9" ht="18" customHeight="1" x14ac:dyDescent="0.45">
      <c r="A24" s="117"/>
      <c r="B24" s="89" t="s">
        <v>17</v>
      </c>
      <c r="C24" s="90">
        <f>SUM(人口データテーブル!B55:B56)</f>
        <v>1461</v>
      </c>
      <c r="D24" s="90">
        <f>SUM(人口データテーブル!C55:C56)</f>
        <v>2014</v>
      </c>
      <c r="E24" s="90">
        <f>SUM(人口データテーブル!D55:D56)</f>
        <v>2657</v>
      </c>
      <c r="F24" s="90">
        <f>SUM(人口データテーブル!E55:E56)</f>
        <v>2737</v>
      </c>
      <c r="G24" s="90">
        <f>SUM(人口データテーブル!F55:F56)</f>
        <v>2507</v>
      </c>
      <c r="H24" s="90">
        <f>SUM(人口データテーブル!G55:G56)</f>
        <v>2782</v>
      </c>
      <c r="I24" s="90">
        <f>SUM(人口データテーブル!H55:H56)</f>
        <v>3413</v>
      </c>
    </row>
    <row r="25" spans="1:9" ht="18" customHeight="1" x14ac:dyDescent="0.45">
      <c r="A25" s="117"/>
      <c r="B25" s="89" t="s">
        <v>18</v>
      </c>
      <c r="C25" s="90">
        <f>SUM(人口データテーブル!B57:B58)</f>
        <v>689</v>
      </c>
      <c r="D25" s="90">
        <f>SUM(人口データテーブル!C57:C58)</f>
        <v>947</v>
      </c>
      <c r="E25" s="90">
        <f>SUM(人口データテーブル!D57:D58)</f>
        <v>1234</v>
      </c>
      <c r="F25" s="90">
        <f>SUM(人口データテーブル!E57:E58)</f>
        <v>1672</v>
      </c>
      <c r="G25" s="90">
        <f>SUM(人口データテーブル!F57:F58)</f>
        <v>2169</v>
      </c>
      <c r="H25" s="90">
        <f>SUM(人口データテーブル!G57:G58)</f>
        <v>2314</v>
      </c>
      <c r="I25" s="90">
        <f>SUM(人口データテーブル!H57:H58)</f>
        <v>2323</v>
      </c>
    </row>
    <row r="26" spans="1:9" ht="18" customHeight="1" x14ac:dyDescent="0.45">
      <c r="A26" s="93"/>
      <c r="B26" s="75"/>
      <c r="C26" s="96"/>
      <c r="D26" s="96"/>
      <c r="E26" s="96"/>
      <c r="F26" s="96"/>
      <c r="G26" s="96"/>
      <c r="H26" s="96"/>
      <c r="I26" s="96"/>
    </row>
    <row r="27" spans="1:9" ht="18" customHeight="1" x14ac:dyDescent="0.45">
      <c r="A27" s="97" t="s">
        <v>21</v>
      </c>
      <c r="B27" s="75"/>
      <c r="C27" s="96"/>
      <c r="D27" s="96"/>
      <c r="E27" s="96"/>
      <c r="F27" s="96"/>
      <c r="G27" s="96"/>
      <c r="H27" s="96"/>
      <c r="I27" s="96"/>
    </row>
    <row r="28" spans="1:9" ht="18" customHeight="1" x14ac:dyDescent="0.45">
      <c r="A28" s="95"/>
      <c r="B28" s="78"/>
      <c r="C28" s="92" t="s">
        <v>2</v>
      </c>
      <c r="D28" s="92" t="s">
        <v>3</v>
      </c>
      <c r="E28" s="92" t="s">
        <v>4</v>
      </c>
      <c r="F28" s="92" t="s">
        <v>5</v>
      </c>
      <c r="G28" s="92" t="s">
        <v>6</v>
      </c>
      <c r="H28" s="92" t="s">
        <v>7</v>
      </c>
      <c r="I28" s="92" t="s">
        <v>8</v>
      </c>
    </row>
    <row r="29" spans="1:9" ht="24.95" customHeight="1" x14ac:dyDescent="0.45">
      <c r="A29" s="89" t="s">
        <v>22</v>
      </c>
      <c r="B29" s="89"/>
      <c r="C29" s="70">
        <f>C12/SUM(C$11:C$15)</f>
        <v>0.60597590194103967</v>
      </c>
      <c r="D29" s="70">
        <f>D12/SUM(D$11:D$15)</f>
        <v>0.59721284598321922</v>
      </c>
      <c r="E29" s="70">
        <f t="shared" ref="E29" si="14">E12/SUM(E$11:E$15)</f>
        <v>0.59262142442836641</v>
      </c>
      <c r="F29" s="70">
        <f t="shared" ref="F29:I29" si="15">F12/SUM(F$11:F$15)</f>
        <v>0.58207505518763802</v>
      </c>
      <c r="G29" s="70">
        <f t="shared" si="15"/>
        <v>0.56561677903483176</v>
      </c>
      <c r="H29" s="70">
        <f t="shared" si="15"/>
        <v>0.54010960926851426</v>
      </c>
      <c r="I29" s="70">
        <f t="shared" si="15"/>
        <v>0.51937446928955566</v>
      </c>
    </row>
    <row r="30" spans="1:9" ht="24.95" customHeight="1" thickBot="1" x14ac:dyDescent="0.5">
      <c r="A30" s="98" t="s">
        <v>23</v>
      </c>
      <c r="B30" s="98"/>
      <c r="C30" s="99">
        <f>SUM(C$13:C$15)/SUM(C$11:C$15)</f>
        <v>0.15536997812424042</v>
      </c>
      <c r="D30" s="99">
        <f t="shared" ref="D30:I30" si="16">SUM(D$13:D$15)/SUM(D$11:D$15)</f>
        <v>0.1683222425820555</v>
      </c>
      <c r="E30" s="99">
        <f t="shared" si="16"/>
        <v>0.17672558537106572</v>
      </c>
      <c r="F30" s="99">
        <f t="shared" si="16"/>
        <v>0.19131714495952906</v>
      </c>
      <c r="G30" s="99">
        <f t="shared" si="16"/>
        <v>0.21190862958756809</v>
      </c>
      <c r="H30" s="99">
        <f t="shared" si="16"/>
        <v>0.24190708768741481</v>
      </c>
      <c r="I30" s="99">
        <f t="shared" si="16"/>
        <v>0.26478913105009905</v>
      </c>
    </row>
    <row r="31" spans="1:9" ht="18" customHeight="1" thickTop="1" x14ac:dyDescent="0.45">
      <c r="A31" s="121" t="s">
        <v>24</v>
      </c>
      <c r="B31" s="88" t="s">
        <v>14</v>
      </c>
      <c r="C31" s="100">
        <f t="shared" ref="C31:I35" si="17">C11/SUM(C$11:C$15)</f>
        <v>0.23865411993471997</v>
      </c>
      <c r="D31" s="100">
        <f t="shared" si="17"/>
        <v>0.23446491143472531</v>
      </c>
      <c r="E31" s="100">
        <f t="shared" si="17"/>
        <v>0.23065299020056781</v>
      </c>
      <c r="F31" s="100">
        <f t="shared" si="17"/>
        <v>0.22660779985283297</v>
      </c>
      <c r="G31" s="100">
        <f t="shared" si="17"/>
        <v>0.22247459137760017</v>
      </c>
      <c r="H31" s="100">
        <f t="shared" si="17"/>
        <v>0.21798330304407088</v>
      </c>
      <c r="I31" s="100">
        <f t="shared" si="17"/>
        <v>0.21583639966034532</v>
      </c>
    </row>
    <row r="32" spans="1:9" ht="18" customHeight="1" x14ac:dyDescent="0.45">
      <c r="A32" s="122"/>
      <c r="B32" s="89" t="s">
        <v>15</v>
      </c>
      <c r="C32" s="70">
        <f t="shared" si="17"/>
        <v>0.60597590194103967</v>
      </c>
      <c r="D32" s="70">
        <f t="shared" si="17"/>
        <v>0.59721284598321922</v>
      </c>
      <c r="E32" s="70">
        <f t="shared" si="17"/>
        <v>0.59262142442836641</v>
      </c>
      <c r="F32" s="70">
        <f t="shared" si="17"/>
        <v>0.58207505518763802</v>
      </c>
      <c r="G32" s="70">
        <f t="shared" si="17"/>
        <v>0.56561677903483176</v>
      </c>
      <c r="H32" s="70">
        <f t="shared" si="17"/>
        <v>0.54010960926851426</v>
      </c>
      <c r="I32" s="70">
        <f t="shared" si="17"/>
        <v>0.51937446928955566</v>
      </c>
    </row>
    <row r="33" spans="1:9" ht="18" customHeight="1" x14ac:dyDescent="0.45">
      <c r="A33" s="122"/>
      <c r="B33" s="89" t="s">
        <v>16</v>
      </c>
      <c r="C33" s="70">
        <f t="shared" si="17"/>
        <v>9.1010104517517967E-2</v>
      </c>
      <c r="D33" s="70">
        <f t="shared" si="17"/>
        <v>8.6668595492975856E-2</v>
      </c>
      <c r="E33" s="70">
        <f t="shared" si="17"/>
        <v>7.5800592239826603E-2</v>
      </c>
      <c r="F33" s="70">
        <f t="shared" si="17"/>
        <v>8.2634289919058135E-2</v>
      </c>
      <c r="G33" s="70">
        <f t="shared" si="17"/>
        <v>0.10039820019263114</v>
      </c>
      <c r="H33" s="70">
        <f t="shared" si="17"/>
        <v>0.12118071331213084</v>
      </c>
      <c r="I33" s="70">
        <f t="shared" si="17"/>
        <v>0.12751202943673931</v>
      </c>
    </row>
    <row r="34" spans="1:9" ht="18" customHeight="1" x14ac:dyDescent="0.45">
      <c r="A34" s="122"/>
      <c r="B34" s="89" t="s">
        <v>17</v>
      </c>
      <c r="C34" s="70">
        <f t="shared" si="17"/>
        <v>4.7345393937289489E-2</v>
      </c>
      <c r="D34" s="70">
        <f t="shared" si="17"/>
        <v>5.8861349535474332E-2</v>
      </c>
      <c r="E34" s="70">
        <f t="shared" si="17"/>
        <v>7.184723875812804E-2</v>
      </c>
      <c r="F34" s="70">
        <f t="shared" si="17"/>
        <v>7.1052244297277412E-2</v>
      </c>
      <c r="G34" s="70">
        <f t="shared" si="17"/>
        <v>6.3898911777812914E-2</v>
      </c>
      <c r="H34" s="70">
        <f t="shared" si="17"/>
        <v>7.1274420717855516E-2</v>
      </c>
      <c r="I34" s="70">
        <f t="shared" si="17"/>
        <v>8.7913954146617609E-2</v>
      </c>
    </row>
    <row r="35" spans="1:9" ht="18" customHeight="1" x14ac:dyDescent="0.45">
      <c r="A35" s="123"/>
      <c r="B35" s="89" t="s">
        <v>18</v>
      </c>
      <c r="C35" s="70">
        <f t="shared" si="17"/>
        <v>1.7014479669432966E-2</v>
      </c>
      <c r="D35" s="70">
        <f t="shared" si="17"/>
        <v>2.2792297553605297E-2</v>
      </c>
      <c r="E35" s="70">
        <f t="shared" si="17"/>
        <v>2.9077754373111091E-2</v>
      </c>
      <c r="F35" s="70">
        <f t="shared" si="17"/>
        <v>3.7630610743193522E-2</v>
      </c>
      <c r="G35" s="70">
        <f t="shared" si="17"/>
        <v>4.7611517617124045E-2</v>
      </c>
      <c r="H35" s="70">
        <f t="shared" si="17"/>
        <v>4.9451953657428445E-2</v>
      </c>
      <c r="I35" s="70">
        <f t="shared" si="17"/>
        <v>4.9363147466742148E-2</v>
      </c>
    </row>
    <row r="36" spans="1:9" ht="18" customHeight="1" x14ac:dyDescent="0.45">
      <c r="A36" s="93"/>
      <c r="B36" s="75"/>
      <c r="C36" s="96"/>
      <c r="D36" s="96"/>
      <c r="E36" s="96"/>
      <c r="F36" s="96"/>
      <c r="G36" s="96"/>
      <c r="H36" s="96"/>
      <c r="I36" s="96"/>
    </row>
    <row r="37" spans="1:9" ht="18" customHeight="1" x14ac:dyDescent="0.45">
      <c r="A37" s="95"/>
      <c r="B37" s="78"/>
      <c r="C37" s="92" t="s">
        <v>2</v>
      </c>
      <c r="D37" s="92" t="s">
        <v>3</v>
      </c>
      <c r="E37" s="92" t="s">
        <v>4</v>
      </c>
      <c r="F37" s="92" t="s">
        <v>5</v>
      </c>
      <c r="G37" s="92" t="s">
        <v>6</v>
      </c>
      <c r="H37" s="92" t="s">
        <v>7</v>
      </c>
      <c r="I37" s="92" t="s">
        <v>8</v>
      </c>
    </row>
    <row r="38" spans="1:9" ht="40.5" customHeight="1" x14ac:dyDescent="0.45">
      <c r="A38" s="116" t="s">
        <v>25</v>
      </c>
      <c r="B38" s="116"/>
      <c r="C38" s="101">
        <f>C12/SUM(C13:C15)</f>
        <v>3.9002123142250529</v>
      </c>
      <c r="D38" s="101">
        <f t="shared" ref="D38:I38" si="18">D12/SUM(D13:D15)</f>
        <v>3.5480328495034379</v>
      </c>
      <c r="E38" s="101">
        <f t="shared" si="18"/>
        <v>3.3533425462083262</v>
      </c>
      <c r="F38" s="101">
        <f t="shared" si="18"/>
        <v>3.0424615384615383</v>
      </c>
      <c r="G38" s="101">
        <f t="shared" si="18"/>
        <v>2.6691540601044705</v>
      </c>
      <c r="H38" s="101">
        <f t="shared" si="18"/>
        <v>2.2327151074069724</v>
      </c>
      <c r="I38" s="101">
        <f t="shared" si="18"/>
        <v>1.9614644575093534</v>
      </c>
    </row>
    <row r="39" spans="1:9" ht="18.75" x14ac:dyDescent="0.45">
      <c r="A39" s="75"/>
      <c r="B39" s="75"/>
      <c r="C39" s="75"/>
      <c r="D39" s="75"/>
      <c r="E39" s="75"/>
      <c r="F39" s="75"/>
      <c r="G39" s="75"/>
      <c r="H39" s="75"/>
      <c r="I39" s="75"/>
    </row>
  </sheetData>
  <mergeCells count="9">
    <mergeCell ref="A38:B38"/>
    <mergeCell ref="A2:B2"/>
    <mergeCell ref="C2:D2"/>
    <mergeCell ref="A6:B6"/>
    <mergeCell ref="A7:B7"/>
    <mergeCell ref="A11:A15"/>
    <mergeCell ref="A16:A20"/>
    <mergeCell ref="A21:A25"/>
    <mergeCell ref="A31:A35"/>
  </mergeCells>
  <phoneticPr fontId="1"/>
  <printOptions horizontalCentered="1"/>
  <pageMargins left="0.23622047244094491" right="0.23622047244094491" top="0.74803149606299213" bottom="0.74803149606299213" header="0.31496062992125984" footer="0.31496062992125984"/>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31"/>
  <sheetViews>
    <sheetView showGridLines="0" zoomScaleNormal="100" zoomScaleSheetLayoutView="100" workbookViewId="0"/>
  </sheetViews>
  <sheetFormatPr defaultRowHeight="18.75" x14ac:dyDescent="0.45"/>
  <sheetData>
    <row r="1" spans="1:8" ht="19.5" x14ac:dyDescent="0.45">
      <c r="B1" s="81"/>
    </row>
    <row r="2" spans="1:8" x14ac:dyDescent="0.45">
      <c r="A2" s="102"/>
      <c r="B2" s="92" t="s">
        <v>2</v>
      </c>
      <c r="C2" s="92" t="s">
        <v>3</v>
      </c>
      <c r="D2" s="92" t="s">
        <v>4</v>
      </c>
      <c r="E2" s="92" t="s">
        <v>5</v>
      </c>
      <c r="F2" s="92" t="s">
        <v>6</v>
      </c>
      <c r="G2" s="92" t="s">
        <v>7</v>
      </c>
      <c r="H2" s="92" t="s">
        <v>8</v>
      </c>
    </row>
    <row r="3" spans="1:8" x14ac:dyDescent="0.45">
      <c r="A3" s="102" t="s">
        <v>9</v>
      </c>
      <c r="B3" s="69">
        <f>人口動態!C6</f>
        <v>57598</v>
      </c>
      <c r="C3" s="69">
        <f>人口動態!D6</f>
        <v>62214</v>
      </c>
      <c r="D3" s="69">
        <f>人口動態!E6</f>
        <v>65514</v>
      </c>
      <c r="E3" s="69">
        <f>人口動態!F6</f>
        <v>67950</v>
      </c>
      <c r="F3" s="69">
        <f>人口動態!G6</f>
        <v>69563</v>
      </c>
      <c r="G3" s="69">
        <f>人口動態!H6</f>
        <v>70432</v>
      </c>
      <c r="H3" s="69">
        <f>人口動態!I6</f>
        <v>70660</v>
      </c>
    </row>
    <row r="10" spans="1:8" x14ac:dyDescent="0.45">
      <c r="B10" s="75"/>
    </row>
    <row r="17" spans="2:2" x14ac:dyDescent="0.45">
      <c r="B17" s="79"/>
    </row>
    <row r="25" spans="2:2" ht="19.5" x14ac:dyDescent="0.45">
      <c r="B25" s="81"/>
    </row>
    <row r="26" spans="2:2" x14ac:dyDescent="0.45">
      <c r="B26" s="75"/>
    </row>
    <row r="27" spans="2:2" x14ac:dyDescent="0.45">
      <c r="B27" s="75"/>
    </row>
    <row r="31" spans="2:2" ht="19.5" x14ac:dyDescent="0.45">
      <c r="B31" s="81"/>
    </row>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S37"/>
  <sheetViews>
    <sheetView showGridLines="0" zoomScale="85" zoomScaleNormal="85" workbookViewId="0">
      <selection activeCell="N22" sqref="N22"/>
    </sheetView>
  </sheetViews>
  <sheetFormatPr defaultRowHeight="18.75" x14ac:dyDescent="0.45"/>
  <cols>
    <col min="1" max="1" width="3.44140625" customWidth="1"/>
    <col min="2" max="2" width="7.77734375" customWidth="1"/>
    <col min="3" max="11" width="8.77734375" customWidth="1"/>
  </cols>
  <sheetData>
    <row r="1" spans="2:18" ht="19.5" x14ac:dyDescent="0.45">
      <c r="B1" s="81"/>
      <c r="C1" s="75"/>
      <c r="D1" s="75"/>
      <c r="E1" s="75"/>
      <c r="F1" s="75"/>
      <c r="G1" s="75"/>
      <c r="H1" s="75"/>
      <c r="I1" s="75"/>
      <c r="J1" s="75"/>
    </row>
    <row r="2" spans="2:18" x14ac:dyDescent="0.45">
      <c r="B2" s="75" t="s">
        <v>26</v>
      </c>
      <c r="C2" s="75"/>
      <c r="D2" s="75"/>
      <c r="E2" s="75"/>
      <c r="F2" s="75"/>
      <c r="G2" s="75"/>
      <c r="H2" s="75"/>
      <c r="I2" s="75"/>
      <c r="J2" s="75"/>
    </row>
    <row r="3" spans="2:18" x14ac:dyDescent="0.45">
      <c r="B3" s="76"/>
      <c r="C3" s="91"/>
      <c r="D3" s="92" t="s">
        <v>2</v>
      </c>
      <c r="E3" s="92" t="s">
        <v>3</v>
      </c>
      <c r="F3" s="92" t="s">
        <v>4</v>
      </c>
      <c r="G3" s="92" t="s">
        <v>5</v>
      </c>
      <c r="H3" s="92" t="s">
        <v>6</v>
      </c>
      <c r="I3" s="92" t="s">
        <v>7</v>
      </c>
      <c r="J3" s="75"/>
    </row>
    <row r="4" spans="2:18" x14ac:dyDescent="0.45">
      <c r="B4" s="119" t="s">
        <v>27</v>
      </c>
      <c r="C4" s="120"/>
      <c r="D4" s="69">
        <f>SUM(推計世帯データテーブル!H2:Q16)</f>
        <v>20995</v>
      </c>
      <c r="E4" s="69">
        <f>SUM(推計世帯データテーブル!H17:Q31)</f>
        <v>23055</v>
      </c>
      <c r="F4" s="69">
        <f>SUM(推計世帯データテーブル!H32:Q46)</f>
        <v>24684</v>
      </c>
      <c r="G4" s="69">
        <f>SUM(推計世帯データテーブル!H47:Q61)</f>
        <v>25936</v>
      </c>
      <c r="H4" s="69">
        <f>SUM(推計世帯データテーブル!H62:Q76)</f>
        <v>26870</v>
      </c>
      <c r="I4" s="69">
        <f>SUM(推計世帯データテーブル!H77:Q91)</f>
        <v>27514</v>
      </c>
      <c r="J4" s="75"/>
    </row>
    <row r="5" spans="2:18" x14ac:dyDescent="0.45">
      <c r="B5" s="119" t="s">
        <v>10</v>
      </c>
      <c r="C5" s="120"/>
      <c r="D5" s="70">
        <f>D4/$D$4</f>
        <v>1</v>
      </c>
      <c r="E5" s="70">
        <f t="shared" ref="E5:I5" si="0">E4/$D$4</f>
        <v>1.0981185996665872</v>
      </c>
      <c r="F5" s="70">
        <f t="shared" si="0"/>
        <v>1.1757085020242914</v>
      </c>
      <c r="G5" s="70">
        <f t="shared" si="0"/>
        <v>1.2353417480352464</v>
      </c>
      <c r="H5" s="70">
        <f t="shared" si="0"/>
        <v>1.2798285306025243</v>
      </c>
      <c r="I5" s="70">
        <f t="shared" si="0"/>
        <v>1.3105025005953799</v>
      </c>
      <c r="J5" s="75"/>
    </row>
    <row r="6" spans="2:18" x14ac:dyDescent="0.45">
      <c r="B6" s="75"/>
      <c r="C6" s="75"/>
      <c r="D6" s="75"/>
      <c r="E6" s="75"/>
      <c r="F6" s="75"/>
      <c r="G6" s="75"/>
      <c r="H6" s="75"/>
      <c r="I6" s="75"/>
      <c r="J6" s="75"/>
    </row>
    <row r="7" spans="2:18" x14ac:dyDescent="0.45">
      <c r="B7" s="75" t="s">
        <v>28</v>
      </c>
      <c r="C7" s="75"/>
      <c r="D7" s="75"/>
      <c r="E7" s="75"/>
      <c r="F7" s="75"/>
      <c r="G7" s="75"/>
      <c r="H7" s="75"/>
      <c r="I7" s="75"/>
      <c r="J7" s="75"/>
    </row>
    <row r="8" spans="2:18" ht="60" customHeight="1" x14ac:dyDescent="0.45">
      <c r="B8" s="89"/>
      <c r="C8" s="77" t="s">
        <v>29</v>
      </c>
      <c r="D8" s="77" t="s">
        <v>30</v>
      </c>
      <c r="E8" s="103" t="s">
        <v>31</v>
      </c>
      <c r="F8" s="103" t="s">
        <v>32</v>
      </c>
      <c r="G8" s="103" t="s">
        <v>33</v>
      </c>
      <c r="H8" s="103" t="s">
        <v>34</v>
      </c>
      <c r="I8" s="103" t="s">
        <v>35</v>
      </c>
      <c r="J8" s="103" t="s">
        <v>36</v>
      </c>
      <c r="K8" s="12"/>
      <c r="M8" s="8"/>
      <c r="N8" s="9" t="s">
        <v>30</v>
      </c>
      <c r="O8" s="10" t="s">
        <v>33</v>
      </c>
      <c r="P8" s="10" t="s">
        <v>34</v>
      </c>
      <c r="Q8" s="10" t="s">
        <v>35</v>
      </c>
      <c r="R8" s="10" t="s">
        <v>36</v>
      </c>
    </row>
    <row r="9" spans="2:18" x14ac:dyDescent="0.45">
      <c r="B9" s="77" t="s">
        <v>37</v>
      </c>
      <c r="C9" s="69">
        <f>SUM(E9:J9)</f>
        <v>20995</v>
      </c>
      <c r="D9" s="69">
        <f>SUM(E9:F9)</f>
        <v>7472</v>
      </c>
      <c r="E9" s="69">
        <f>SUM(推計世帯データテーブル!T2:T16)</f>
        <v>4510</v>
      </c>
      <c r="F9" s="69">
        <f>SUM(推計世帯データテーブル!U2:U16)</f>
        <v>2962</v>
      </c>
      <c r="G9" s="69">
        <f>SUM(推計世帯データテーブル!V2:V16)</f>
        <v>3499</v>
      </c>
      <c r="H9" s="69">
        <f>SUM(推計世帯データテーブル!W2:W16)</f>
        <v>6521</v>
      </c>
      <c r="I9" s="69">
        <f>SUM(推計世帯データテーブル!X2:X16)</f>
        <v>1701</v>
      </c>
      <c r="J9" s="69">
        <f>SUM(推計世帯データテーブル!Y2:Y16)</f>
        <v>1802</v>
      </c>
      <c r="K9" s="13"/>
      <c r="M9" s="9" t="s">
        <v>37</v>
      </c>
      <c r="N9" s="6">
        <f>D9/$C9</f>
        <v>0.35589426053822337</v>
      </c>
      <c r="O9" s="6">
        <f>G9/$C9</f>
        <v>0.1666587282686354</v>
      </c>
      <c r="P9" s="6">
        <f>H9/$C9</f>
        <v>0.31059776137175515</v>
      </c>
      <c r="Q9" s="6">
        <f>I9/$C9</f>
        <v>8.101929030721601E-2</v>
      </c>
      <c r="R9" s="6">
        <f>J9/$C9</f>
        <v>8.5829959514170037E-2</v>
      </c>
    </row>
    <row r="10" spans="2:18" x14ac:dyDescent="0.45">
      <c r="B10" s="77" t="s">
        <v>38</v>
      </c>
      <c r="C10" s="69">
        <f t="shared" ref="C10:C14" si="1">SUM(E10:J10)</f>
        <v>23055</v>
      </c>
      <c r="D10" s="69">
        <f t="shared" ref="D10:D14" si="2">SUM(E10:F10)</f>
        <v>8469</v>
      </c>
      <c r="E10" s="69">
        <f>SUM(推計世帯データテーブル!T17:T31)</f>
        <v>4980</v>
      </c>
      <c r="F10" s="69">
        <f>SUM(推計世帯データテーブル!U17:U31)</f>
        <v>3489</v>
      </c>
      <c r="G10" s="69">
        <f>SUM(推計世帯データテーブル!V17:V31)</f>
        <v>3896</v>
      </c>
      <c r="H10" s="69">
        <f>SUM(推計世帯データテーブル!W17:W31)</f>
        <v>6897</v>
      </c>
      <c r="I10" s="69">
        <f>SUM(推計世帯データテーブル!X17:X31)</f>
        <v>2006</v>
      </c>
      <c r="J10" s="69">
        <f>SUM(推計世帯データテーブル!Y17:Y31)</f>
        <v>1787</v>
      </c>
      <c r="K10" s="13"/>
      <c r="M10" s="9" t="s">
        <v>38</v>
      </c>
      <c r="N10" s="6">
        <f t="shared" ref="N10:N14" si="3">D10/$C10</f>
        <v>0.36733897202342225</v>
      </c>
      <c r="O10" s="6">
        <f t="shared" ref="O10:O14" si="4">G10/$C10</f>
        <v>0.16898720451095206</v>
      </c>
      <c r="P10" s="6">
        <f t="shared" ref="P10:P14" si="5">H10/$C10</f>
        <v>0.2991541964866623</v>
      </c>
      <c r="Q10" s="6">
        <f t="shared" ref="Q10:Q14" si="6">I10/$C10</f>
        <v>8.7009325525916281E-2</v>
      </c>
      <c r="R10" s="6">
        <f t="shared" ref="R10:R14" si="7">J10/$C10</f>
        <v>7.7510301453047062E-2</v>
      </c>
    </row>
    <row r="11" spans="2:18" x14ac:dyDescent="0.45">
      <c r="B11" s="77" t="s">
        <v>39</v>
      </c>
      <c r="C11" s="69">
        <f t="shared" si="1"/>
        <v>24684</v>
      </c>
      <c r="D11" s="69">
        <f t="shared" si="2"/>
        <v>9310</v>
      </c>
      <c r="E11" s="69">
        <f>SUM(推計世帯データテーブル!T32:T46)</f>
        <v>5354</v>
      </c>
      <c r="F11" s="69">
        <f>SUM(推計世帯データテーブル!U32:U46)</f>
        <v>3956</v>
      </c>
      <c r="G11" s="69">
        <f>SUM(推計世帯データテーブル!V32:V46)</f>
        <v>4249</v>
      </c>
      <c r="H11" s="69">
        <f>SUM(推計世帯データテーブル!W32:W46)</f>
        <v>7075</v>
      </c>
      <c r="I11" s="69">
        <f>SUM(推計世帯データテーブル!X32:X46)</f>
        <v>2254</v>
      </c>
      <c r="J11" s="69">
        <f>SUM(推計世帯データテーブル!Y32:Y46)</f>
        <v>1796</v>
      </c>
      <c r="K11" s="13"/>
      <c r="M11" s="9" t="s">
        <v>39</v>
      </c>
      <c r="N11" s="6">
        <f t="shared" si="3"/>
        <v>0.37716739588397341</v>
      </c>
      <c r="O11" s="6">
        <f t="shared" si="4"/>
        <v>0.17213579646734728</v>
      </c>
      <c r="P11" s="6">
        <f t="shared" si="5"/>
        <v>0.2866229136282612</v>
      </c>
      <c r="Q11" s="6">
        <f t="shared" si="6"/>
        <v>9.1314211635067255E-2</v>
      </c>
      <c r="R11" s="6">
        <f t="shared" si="7"/>
        <v>7.2759682385350841E-2</v>
      </c>
    </row>
    <row r="12" spans="2:18" x14ac:dyDescent="0.45">
      <c r="B12" s="77" t="s">
        <v>40</v>
      </c>
      <c r="C12" s="69">
        <f t="shared" si="1"/>
        <v>25936</v>
      </c>
      <c r="D12" s="69">
        <f t="shared" si="2"/>
        <v>10007</v>
      </c>
      <c r="E12" s="69">
        <f>SUM(推計世帯データテーブル!T47:T61)</f>
        <v>5649</v>
      </c>
      <c r="F12" s="69">
        <f>SUM(推計世帯データテーブル!U47:U61)</f>
        <v>4358</v>
      </c>
      <c r="G12" s="69">
        <f>SUM(推計世帯データテーブル!V47:V61)</f>
        <v>4565</v>
      </c>
      <c r="H12" s="69">
        <f>SUM(推計世帯データテーブル!W47:W61)</f>
        <v>7122</v>
      </c>
      <c r="I12" s="69">
        <f>SUM(推計世帯データテーブル!X47:X61)</f>
        <v>2436</v>
      </c>
      <c r="J12" s="69">
        <f>SUM(推計世帯データテーブル!Y47:Y61)</f>
        <v>1806</v>
      </c>
      <c r="K12" s="13"/>
      <c r="M12" s="9" t="s">
        <v>40</v>
      </c>
      <c r="N12" s="6">
        <f t="shared" si="3"/>
        <v>0.38583436150524369</v>
      </c>
      <c r="O12" s="6">
        <f t="shared" si="4"/>
        <v>0.1760101789019124</v>
      </c>
      <c r="P12" s="6">
        <f t="shared" si="5"/>
        <v>0.27459901295496608</v>
      </c>
      <c r="Q12" s="6">
        <f t="shared" si="6"/>
        <v>9.3923504009870457E-2</v>
      </c>
      <c r="R12" s="6">
        <f t="shared" si="7"/>
        <v>6.9632942628007399E-2</v>
      </c>
    </row>
    <row r="13" spans="2:18" x14ac:dyDescent="0.45">
      <c r="B13" s="77" t="s">
        <v>41</v>
      </c>
      <c r="C13" s="69">
        <f t="shared" si="1"/>
        <v>26870</v>
      </c>
      <c r="D13" s="69">
        <f t="shared" si="2"/>
        <v>10552</v>
      </c>
      <c r="E13" s="69">
        <f>SUM(推計世帯データテーブル!T62:T76)</f>
        <v>5861</v>
      </c>
      <c r="F13" s="69">
        <f>SUM(推計世帯データテーブル!U62:U76)</f>
        <v>4691</v>
      </c>
      <c r="G13" s="69">
        <f>SUM(推計世帯データテーブル!V62:V76)</f>
        <v>4852</v>
      </c>
      <c r="H13" s="69">
        <f>SUM(推計世帯データテーブル!W62:W76)</f>
        <v>7083</v>
      </c>
      <c r="I13" s="69">
        <f>SUM(推計世帯データテーブル!X62:X76)</f>
        <v>2570</v>
      </c>
      <c r="J13" s="69">
        <f>SUM(推計世帯データテーブル!Y62:Y76)</f>
        <v>1813</v>
      </c>
      <c r="K13" s="13"/>
      <c r="M13" s="9" t="s">
        <v>41</v>
      </c>
      <c r="N13" s="6">
        <f t="shared" si="3"/>
        <v>0.39270561965016748</v>
      </c>
      <c r="O13" s="6">
        <f t="shared" si="4"/>
        <v>0.1805731298846297</v>
      </c>
      <c r="P13" s="6">
        <f t="shared" si="5"/>
        <v>0.26360253070338668</v>
      </c>
      <c r="Q13" s="6">
        <f t="shared" si="6"/>
        <v>9.5645701525865282E-2</v>
      </c>
      <c r="R13" s="6">
        <f t="shared" si="7"/>
        <v>6.747301823595088E-2</v>
      </c>
    </row>
    <row r="14" spans="2:18" x14ac:dyDescent="0.45">
      <c r="B14" s="77" t="s">
        <v>42</v>
      </c>
      <c r="C14" s="69">
        <f t="shared" si="1"/>
        <v>27514</v>
      </c>
      <c r="D14" s="69">
        <f t="shared" si="2"/>
        <v>10954</v>
      </c>
      <c r="E14" s="69">
        <f>SUM(推計世帯データテーブル!T77:T91)</f>
        <v>5981</v>
      </c>
      <c r="F14" s="69">
        <f>SUM(推計世帯データテーブル!U77:U91)</f>
        <v>4973</v>
      </c>
      <c r="G14" s="69">
        <f>SUM(推計世帯データテーブル!V77:V91)</f>
        <v>5105</v>
      </c>
      <c r="H14" s="69">
        <f>SUM(推計世帯データテーブル!W77:W91)</f>
        <v>6995</v>
      </c>
      <c r="I14" s="69">
        <f>SUM(推計世帯データテーブル!X77:X91)</f>
        <v>2653</v>
      </c>
      <c r="J14" s="69">
        <f>SUM(推計世帯データテーブル!Y77:Y91)</f>
        <v>1807</v>
      </c>
      <c r="K14" s="13"/>
      <c r="M14" s="9" t="s">
        <v>42</v>
      </c>
      <c r="N14" s="6">
        <f t="shared" si="3"/>
        <v>0.3981245911172494</v>
      </c>
      <c r="O14" s="6">
        <f t="shared" si="4"/>
        <v>0.1855419059387948</v>
      </c>
      <c r="P14" s="6">
        <f t="shared" si="5"/>
        <v>0.2542342080395435</v>
      </c>
      <c r="Q14" s="6">
        <f t="shared" si="6"/>
        <v>9.6423638874754664E-2</v>
      </c>
      <c r="R14" s="6">
        <f t="shared" si="7"/>
        <v>6.5675656029657623E-2</v>
      </c>
    </row>
    <row r="15" spans="2:18" x14ac:dyDescent="0.45">
      <c r="B15" s="75"/>
      <c r="C15" s="75"/>
      <c r="D15" s="75"/>
      <c r="E15" s="75"/>
      <c r="F15" s="75"/>
      <c r="G15" s="75"/>
      <c r="H15" s="75"/>
      <c r="I15" s="75"/>
      <c r="J15" s="75"/>
    </row>
    <row r="16" spans="2:18" x14ac:dyDescent="0.45">
      <c r="B16" s="75" t="s">
        <v>43</v>
      </c>
      <c r="C16" s="75"/>
      <c r="D16" s="75"/>
      <c r="E16" s="75"/>
      <c r="F16" s="75"/>
      <c r="G16" s="75"/>
      <c r="H16" s="75"/>
      <c r="I16" s="75"/>
      <c r="J16" s="75"/>
    </row>
    <row r="17" spans="2:19" ht="60" customHeight="1" x14ac:dyDescent="0.45">
      <c r="B17" s="124"/>
      <c r="C17" s="120"/>
      <c r="D17" s="104" t="s">
        <v>30</v>
      </c>
      <c r="E17" s="105" t="s">
        <v>31</v>
      </c>
      <c r="F17" s="105" t="s">
        <v>32</v>
      </c>
      <c r="G17" s="105" t="s">
        <v>33</v>
      </c>
      <c r="H17" s="105" t="s">
        <v>34</v>
      </c>
      <c r="I17" s="105" t="s">
        <v>35</v>
      </c>
      <c r="J17" s="105" t="s">
        <v>36</v>
      </c>
      <c r="K17" s="71" t="s">
        <v>44</v>
      </c>
    </row>
    <row r="18" spans="2:19" ht="18" customHeight="1" x14ac:dyDescent="0.45">
      <c r="B18" s="98"/>
      <c r="C18" s="91" t="s">
        <v>45</v>
      </c>
      <c r="D18" s="69">
        <f>推計世帯データテーブル!U95</f>
        <v>5989</v>
      </c>
      <c r="E18" s="69">
        <f>推計世帯データテーブル!V95</f>
        <v>3985</v>
      </c>
      <c r="F18" s="69">
        <f>推計世帯データテーブル!W95</f>
        <v>2004</v>
      </c>
      <c r="G18" s="69">
        <f>推計世帯データテーブル!X95</f>
        <v>1784</v>
      </c>
      <c r="H18" s="69">
        <f>推計世帯データテーブル!Y95</f>
        <v>5691</v>
      </c>
      <c r="I18" s="69">
        <f>推計世帯データテーブル!Z95</f>
        <v>1320</v>
      </c>
      <c r="J18" s="69">
        <f>推計世帯データテーブル!AA95</f>
        <v>1212</v>
      </c>
      <c r="K18" s="72">
        <f>SUM(E18:J18)</f>
        <v>15996</v>
      </c>
    </row>
    <row r="19" spans="2:19" ht="18" customHeight="1" x14ac:dyDescent="0.45">
      <c r="B19" s="83" t="s">
        <v>37</v>
      </c>
      <c r="C19" s="91" t="s">
        <v>46</v>
      </c>
      <c r="D19" s="69">
        <f>推計世帯データテーブル!U96</f>
        <v>1483</v>
      </c>
      <c r="E19" s="69">
        <f>推計世帯データテーブル!V96</f>
        <v>525</v>
      </c>
      <c r="F19" s="69">
        <f>推計世帯データテーブル!W96</f>
        <v>958</v>
      </c>
      <c r="G19" s="69">
        <f>推計世帯データテーブル!X96</f>
        <v>1715</v>
      </c>
      <c r="H19" s="69">
        <f>推計世帯データテーブル!Y96</f>
        <v>830</v>
      </c>
      <c r="I19" s="69">
        <f>推計世帯データテーブル!Z96</f>
        <v>381</v>
      </c>
      <c r="J19" s="69">
        <f>推計世帯データテーブル!AA96</f>
        <v>590</v>
      </c>
      <c r="K19" s="72">
        <f t="shared" ref="K19:K29" si="8">SUM(E19:J19)</f>
        <v>4999</v>
      </c>
    </row>
    <row r="20" spans="2:19" ht="18" customHeight="1" x14ac:dyDescent="0.45">
      <c r="B20" s="98"/>
      <c r="C20" s="91" t="s">
        <v>45</v>
      </c>
      <c r="D20" s="69">
        <f>推計世帯データテーブル!U97</f>
        <v>6615</v>
      </c>
      <c r="E20" s="69">
        <f>推計世帯データテーブル!V97</f>
        <v>4313</v>
      </c>
      <c r="F20" s="69">
        <f>推計世帯データテーブル!W97</f>
        <v>2302</v>
      </c>
      <c r="G20" s="69">
        <f>推計世帯データテーブル!X97</f>
        <v>1922</v>
      </c>
      <c r="H20" s="69">
        <f>推計世帯データテーブル!Y97</f>
        <v>5986</v>
      </c>
      <c r="I20" s="69">
        <f>推計世帯データテーブル!Z97</f>
        <v>1546</v>
      </c>
      <c r="J20" s="69">
        <f>推計世帯データテーブル!AA97</f>
        <v>1164</v>
      </c>
      <c r="K20" s="72">
        <f t="shared" si="8"/>
        <v>17233</v>
      </c>
      <c r="M20" t="s">
        <v>47</v>
      </c>
    </row>
    <row r="21" spans="2:19" ht="18" customHeight="1" x14ac:dyDescent="0.45">
      <c r="B21" s="106" t="s">
        <v>38</v>
      </c>
      <c r="C21" s="91" t="s">
        <v>46</v>
      </c>
      <c r="D21" s="69">
        <f>推計世帯データテーブル!U98</f>
        <v>1854</v>
      </c>
      <c r="E21" s="69">
        <f>推計世帯データテーブル!V98</f>
        <v>667</v>
      </c>
      <c r="F21" s="69">
        <f>推計世帯データテーブル!W98</f>
        <v>1187</v>
      </c>
      <c r="G21" s="69">
        <f>推計世帯データテーブル!X98</f>
        <v>1974</v>
      </c>
      <c r="H21" s="69">
        <f>推計世帯データテーブル!Y98</f>
        <v>911</v>
      </c>
      <c r="I21" s="69">
        <f>推計世帯データテーブル!Z98</f>
        <v>460</v>
      </c>
      <c r="J21" s="69">
        <f>推計世帯データテーブル!AA98</f>
        <v>623</v>
      </c>
      <c r="K21" s="72">
        <f t="shared" si="8"/>
        <v>5822</v>
      </c>
    </row>
    <row r="22" spans="2:19" ht="18" customHeight="1" x14ac:dyDescent="0.45">
      <c r="B22" s="83"/>
      <c r="C22" s="91" t="s">
        <v>45</v>
      </c>
      <c r="D22" s="69">
        <f>推計世帯データテーブル!U99</f>
        <v>7123</v>
      </c>
      <c r="E22" s="69">
        <f>推計世帯データテーブル!V99</f>
        <v>4563</v>
      </c>
      <c r="F22" s="69">
        <f>推計世帯データテーブル!W99</f>
        <v>2560</v>
      </c>
      <c r="G22" s="69">
        <f>推計世帯データテーブル!X99</f>
        <v>2134</v>
      </c>
      <c r="H22" s="69">
        <f>推計世帯データテーブル!Y99</f>
        <v>6132</v>
      </c>
      <c r="I22" s="69">
        <f>推計世帯データテーブル!Z99</f>
        <v>1728</v>
      </c>
      <c r="J22" s="69">
        <f>推計世帯データテーブル!AA99</f>
        <v>1158</v>
      </c>
      <c r="K22" s="72">
        <f t="shared" si="8"/>
        <v>18275</v>
      </c>
      <c r="M22" s="15"/>
      <c r="N22" s="10" t="s">
        <v>48</v>
      </c>
      <c r="O22" s="10" t="s">
        <v>49</v>
      </c>
      <c r="P22" s="10" t="s">
        <v>33</v>
      </c>
      <c r="Q22" s="10" t="s">
        <v>34</v>
      </c>
      <c r="R22" s="10" t="s">
        <v>35</v>
      </c>
      <c r="S22" s="10" t="s">
        <v>36</v>
      </c>
    </row>
    <row r="23" spans="2:19" ht="18" customHeight="1" x14ac:dyDescent="0.45">
      <c r="B23" s="83" t="s">
        <v>39</v>
      </c>
      <c r="C23" s="91" t="s">
        <v>46</v>
      </c>
      <c r="D23" s="69">
        <f>推計世帯データテーブル!U100</f>
        <v>2187</v>
      </c>
      <c r="E23" s="69">
        <f>推計世帯データテーブル!V100</f>
        <v>791</v>
      </c>
      <c r="F23" s="69">
        <f>推計世帯データテーブル!W100</f>
        <v>1396</v>
      </c>
      <c r="G23" s="69">
        <f>推計世帯データテーブル!X100</f>
        <v>2115</v>
      </c>
      <c r="H23" s="69">
        <f>推計世帯データテーブル!Y100</f>
        <v>943</v>
      </c>
      <c r="I23" s="69">
        <f>推計世帯データテーブル!Z100</f>
        <v>526</v>
      </c>
      <c r="J23" s="69">
        <f>推計世帯データテーブル!AA100</f>
        <v>638</v>
      </c>
      <c r="K23" s="72">
        <f t="shared" si="8"/>
        <v>6409</v>
      </c>
      <c r="M23" s="14" t="s">
        <v>37</v>
      </c>
      <c r="N23" s="16">
        <f>E19/SUM($E$19:$J$19)</f>
        <v>0.10502100420084017</v>
      </c>
      <c r="O23" s="16">
        <f t="shared" ref="O23:S23" si="9">F19/SUM($E$19:$J$19)</f>
        <v>0.1916383276655331</v>
      </c>
      <c r="P23" s="16">
        <f t="shared" si="9"/>
        <v>0.34306861372274455</v>
      </c>
      <c r="Q23" s="16">
        <f t="shared" si="9"/>
        <v>0.16603320664132826</v>
      </c>
      <c r="R23" s="16">
        <f t="shared" si="9"/>
        <v>7.6215243048609715E-2</v>
      </c>
      <c r="S23" s="16">
        <f t="shared" si="9"/>
        <v>0.11802360472094418</v>
      </c>
    </row>
    <row r="24" spans="2:19" ht="18" customHeight="1" x14ac:dyDescent="0.45">
      <c r="B24" s="98"/>
      <c r="C24" s="91" t="s">
        <v>45</v>
      </c>
      <c r="D24" s="69">
        <f>推計世帯データテーブル!U101</f>
        <v>7423</v>
      </c>
      <c r="E24" s="69">
        <f>推計世帯データテーブル!V101</f>
        <v>4675</v>
      </c>
      <c r="F24" s="69">
        <f>推計世帯データテーブル!W101</f>
        <v>2748</v>
      </c>
      <c r="G24" s="69">
        <f>推計世帯データテーブル!X101</f>
        <v>2261</v>
      </c>
      <c r="H24" s="69">
        <f>推計世帯データテーブル!Y101</f>
        <v>6101</v>
      </c>
      <c r="I24" s="69">
        <f>推計世帯データテーブル!Z101</f>
        <v>1835</v>
      </c>
      <c r="J24" s="69">
        <f>推計世帯データテーブル!AA101</f>
        <v>1138</v>
      </c>
      <c r="K24" s="72">
        <f t="shared" si="8"/>
        <v>18758</v>
      </c>
      <c r="M24" s="14" t="s">
        <v>38</v>
      </c>
      <c r="N24" s="16">
        <f>E21/SUM($E$21:$J$21)</f>
        <v>0.11456544142906218</v>
      </c>
      <c r="O24" s="16">
        <f t="shared" ref="O24:S24" si="10">F21/SUM($E$21:$J$21)</f>
        <v>0.20388182755066989</v>
      </c>
      <c r="P24" s="16">
        <f t="shared" si="10"/>
        <v>0.33905874270010306</v>
      </c>
      <c r="Q24" s="16">
        <f t="shared" si="10"/>
        <v>0.15647543799381655</v>
      </c>
      <c r="R24" s="16">
        <f t="shared" si="10"/>
        <v>7.9010649261422192E-2</v>
      </c>
      <c r="S24" s="16">
        <f t="shared" si="10"/>
        <v>0.10700790106492614</v>
      </c>
    </row>
    <row r="25" spans="2:19" ht="18" customHeight="1" x14ac:dyDescent="0.45">
      <c r="B25" s="82" t="s">
        <v>40</v>
      </c>
      <c r="C25" s="91" t="s">
        <v>46</v>
      </c>
      <c r="D25" s="69">
        <f>推計世帯データテーブル!U102</f>
        <v>2584</v>
      </c>
      <c r="E25" s="69">
        <f>推計世帯データテーブル!V102</f>
        <v>974</v>
      </c>
      <c r="F25" s="69">
        <f>推計世帯データテーブル!W102</f>
        <v>1610</v>
      </c>
      <c r="G25" s="69">
        <f>推計世帯データテーブル!X102</f>
        <v>2304</v>
      </c>
      <c r="H25" s="69">
        <f>推計世帯データテーブル!Y102</f>
        <v>1021</v>
      </c>
      <c r="I25" s="69">
        <f>推計世帯データテーブル!Z102</f>
        <v>601</v>
      </c>
      <c r="J25" s="69">
        <f>推計世帯データテーブル!AA102</f>
        <v>668</v>
      </c>
      <c r="K25" s="72">
        <f t="shared" si="8"/>
        <v>7178</v>
      </c>
      <c r="M25" s="14" t="s">
        <v>39</v>
      </c>
      <c r="N25" s="16">
        <f>E23/SUM($E$23:$J$23)</f>
        <v>0.12342019035731003</v>
      </c>
      <c r="O25" s="16">
        <f t="shared" ref="O25:S25" si="11">F23/SUM($E$23:$J$23)</f>
        <v>0.2178186924637229</v>
      </c>
      <c r="P25" s="16">
        <f t="shared" si="11"/>
        <v>0.33000468091745983</v>
      </c>
      <c r="Q25" s="16">
        <f t="shared" si="11"/>
        <v>0.14713683882040879</v>
      </c>
      <c r="R25" s="16">
        <f t="shared" si="11"/>
        <v>8.2072086128881255E-2</v>
      </c>
      <c r="S25" s="16">
        <f t="shared" si="11"/>
        <v>9.9547511312217188E-2</v>
      </c>
    </row>
    <row r="26" spans="2:19" ht="18" customHeight="1" x14ac:dyDescent="0.45">
      <c r="B26" s="83"/>
      <c r="C26" s="91" t="s">
        <v>45</v>
      </c>
      <c r="D26" s="69">
        <f>推計世帯データテーブル!U103</f>
        <v>7504</v>
      </c>
      <c r="E26" s="69">
        <f>推計世帯データテーブル!V103</f>
        <v>4660</v>
      </c>
      <c r="F26" s="69">
        <f>推計世帯データテーブル!W103</f>
        <v>2844</v>
      </c>
      <c r="G26" s="69">
        <f>推計世帯データテーブル!X103</f>
        <v>2286</v>
      </c>
      <c r="H26" s="69">
        <f>推計世帯データテーブル!Y103</f>
        <v>5946</v>
      </c>
      <c r="I26" s="69">
        <f>推計世帯データテーブル!Z103</f>
        <v>1891</v>
      </c>
      <c r="J26" s="69">
        <f>推計世帯データテーブル!AA103</f>
        <v>1100</v>
      </c>
      <c r="K26" s="72">
        <f t="shared" si="8"/>
        <v>18727</v>
      </c>
      <c r="M26" s="14" t="s">
        <v>40</v>
      </c>
      <c r="N26" s="16">
        <f>E25/SUM($E$25:$J$25)</f>
        <v>0.13569239342435219</v>
      </c>
      <c r="O26" s="16">
        <f t="shared" ref="O26:S26" si="12">F25/SUM($E$25:$J$25)</f>
        <v>0.22429646140986348</v>
      </c>
      <c r="P26" s="16">
        <f t="shared" si="12"/>
        <v>0.32098077458902202</v>
      </c>
      <c r="Q26" s="16">
        <f t="shared" si="12"/>
        <v>0.14224017832265254</v>
      </c>
      <c r="R26" s="16">
        <f t="shared" si="12"/>
        <v>8.3728057954862073E-2</v>
      </c>
      <c r="S26" s="16">
        <f t="shared" si="12"/>
        <v>9.3062134299247701E-2</v>
      </c>
    </row>
    <row r="27" spans="2:19" ht="18" customHeight="1" x14ac:dyDescent="0.45">
      <c r="B27" s="83" t="s">
        <v>41</v>
      </c>
      <c r="C27" s="91" t="s">
        <v>46</v>
      </c>
      <c r="D27" s="69">
        <f>推計世帯データテーブル!U104</f>
        <v>3048</v>
      </c>
      <c r="E27" s="69">
        <f>推計世帯データテーブル!V104</f>
        <v>1201</v>
      </c>
      <c r="F27" s="69">
        <f>推計世帯データテーブル!W104</f>
        <v>1847</v>
      </c>
      <c r="G27" s="69">
        <f>推計世帯データテーブル!X104</f>
        <v>2566</v>
      </c>
      <c r="H27" s="69">
        <f>推計世帯データテーブル!Y104</f>
        <v>1137</v>
      </c>
      <c r="I27" s="69">
        <f>推計世帯データテーブル!Z104</f>
        <v>679</v>
      </c>
      <c r="J27" s="69">
        <f>推計世帯データテーブル!AA104</f>
        <v>713</v>
      </c>
      <c r="K27" s="72">
        <f t="shared" si="8"/>
        <v>8143</v>
      </c>
      <c r="M27" s="14" t="s">
        <v>41</v>
      </c>
      <c r="N27" s="16">
        <f>E27/SUM($E$27:$J$27)</f>
        <v>0.14748864055016578</v>
      </c>
      <c r="O27" s="16">
        <f t="shared" ref="O27:S27" si="13">F27/SUM($E$27:$J$27)</f>
        <v>0.22682058209505096</v>
      </c>
      <c r="P27" s="16">
        <f t="shared" si="13"/>
        <v>0.31511727864423433</v>
      </c>
      <c r="Q27" s="16">
        <f t="shared" si="13"/>
        <v>0.13962912931352081</v>
      </c>
      <c r="R27" s="16">
        <f t="shared" si="13"/>
        <v>8.3384502026280241E-2</v>
      </c>
      <c r="S27" s="16">
        <f t="shared" si="13"/>
        <v>8.7559867370747876E-2</v>
      </c>
    </row>
    <row r="28" spans="2:19" ht="18" customHeight="1" x14ac:dyDescent="0.45">
      <c r="B28" s="98"/>
      <c r="C28" s="91" t="s">
        <v>45</v>
      </c>
      <c r="D28" s="69">
        <f>推計世帯データテーブル!U105</f>
        <v>7328</v>
      </c>
      <c r="E28" s="69">
        <f>推計世帯データテーブル!V105</f>
        <v>4522</v>
      </c>
      <c r="F28" s="69">
        <f>推計世帯データテーブル!W105</f>
        <v>2806</v>
      </c>
      <c r="G28" s="69">
        <f>推計世帯データテーブル!X105</f>
        <v>2159</v>
      </c>
      <c r="H28" s="69">
        <f>推計世帯データテーブル!Y105</f>
        <v>5689</v>
      </c>
      <c r="I28" s="69">
        <f>推計世帯データテーブル!Z105</f>
        <v>1890</v>
      </c>
      <c r="J28" s="69">
        <f>推計世帯データテーブル!AA105</f>
        <v>1021</v>
      </c>
      <c r="K28" s="72">
        <f t="shared" si="8"/>
        <v>18087</v>
      </c>
      <c r="M28" s="14" t="s">
        <v>42</v>
      </c>
      <c r="N28" s="16">
        <f>E29/SUM($E$29:$J$29)</f>
        <v>0.15476821894558185</v>
      </c>
      <c r="O28" s="16">
        <f t="shared" ref="O28:S28" si="14">F29/SUM($E$29:$J$29)</f>
        <v>0.22987164527421236</v>
      </c>
      <c r="P28" s="16">
        <f t="shared" si="14"/>
        <v>0.31250662989286093</v>
      </c>
      <c r="Q28" s="16">
        <f t="shared" si="14"/>
        <v>0.13853824122202185</v>
      </c>
      <c r="R28" s="16">
        <f t="shared" si="14"/>
        <v>8.0937732046250127E-2</v>
      </c>
      <c r="S28" s="16">
        <f t="shared" si="14"/>
        <v>8.337753261907288E-2</v>
      </c>
    </row>
    <row r="29" spans="2:19" ht="18" customHeight="1" x14ac:dyDescent="0.45">
      <c r="B29" s="106" t="s">
        <v>42</v>
      </c>
      <c r="C29" s="91" t="s">
        <v>46</v>
      </c>
      <c r="D29" s="69">
        <f>推計世帯データテーブル!U106</f>
        <v>3626</v>
      </c>
      <c r="E29" s="69">
        <f>推計世帯データテーブル!V106</f>
        <v>1459</v>
      </c>
      <c r="F29" s="69">
        <f>推計世帯データテーブル!W106</f>
        <v>2167</v>
      </c>
      <c r="G29" s="69">
        <f>推計世帯データテーブル!X106</f>
        <v>2946</v>
      </c>
      <c r="H29" s="69">
        <f>推計世帯データテーブル!Y106</f>
        <v>1306</v>
      </c>
      <c r="I29" s="69">
        <f>推計世帯データテーブル!Z106</f>
        <v>763</v>
      </c>
      <c r="J29" s="69">
        <f>推計世帯データテーブル!AA106</f>
        <v>786</v>
      </c>
      <c r="K29" s="72">
        <f t="shared" si="8"/>
        <v>9427</v>
      </c>
    </row>
    <row r="30" spans="2:19" x14ac:dyDescent="0.45">
      <c r="B30" s="75"/>
      <c r="C30" s="75"/>
      <c r="D30" s="75"/>
      <c r="E30" s="75"/>
      <c r="F30" s="75"/>
      <c r="G30" s="75"/>
      <c r="H30" s="75"/>
      <c r="I30" s="75"/>
      <c r="J30" s="75"/>
      <c r="M30" s="110" t="s">
        <v>50</v>
      </c>
    </row>
    <row r="31" spans="2:19" ht="19.5" x14ac:dyDescent="0.45">
      <c r="B31" s="81"/>
      <c r="M31" s="15"/>
      <c r="N31" s="112" t="s">
        <v>51</v>
      </c>
      <c r="O31" s="113" t="s">
        <v>52</v>
      </c>
      <c r="P31" s="113" t="s">
        <v>18</v>
      </c>
    </row>
    <row r="32" spans="2:19" x14ac:dyDescent="0.45">
      <c r="M32" s="14" t="s">
        <v>37</v>
      </c>
      <c r="N32" s="16">
        <f>推計世帯データテーブル!AF94/推計世帯データテーブル!$AI94</f>
        <v>0.52663519892110588</v>
      </c>
      <c r="O32" s="16">
        <f>推計世帯データテーブル!AG94/推計世帯データテーブル!$AI94</f>
        <v>0.34794335805799054</v>
      </c>
      <c r="P32" s="16">
        <f>推計世帯データテーブル!AH94/推計世帯データテーブル!$AI94</f>
        <v>0.12542144302090358</v>
      </c>
    </row>
    <row r="33" spans="13:16" x14ac:dyDescent="0.45">
      <c r="M33" s="14" t="s">
        <v>38</v>
      </c>
      <c r="N33" s="16">
        <f>推計世帯データテーブル!AF95/推計世帯データテーブル!$AI95</f>
        <v>0.46601941747572817</v>
      </c>
      <c r="O33" s="16">
        <f>推計世帯データテーブル!AG95/推計世帯データテーブル!$AI95</f>
        <v>0.38349514563106796</v>
      </c>
      <c r="P33" s="16">
        <f>推計世帯データテーブル!AH95/推計世帯データテーブル!$AI95</f>
        <v>0.15048543689320387</v>
      </c>
    </row>
    <row r="34" spans="13:16" x14ac:dyDescent="0.45">
      <c r="M34" s="14" t="s">
        <v>39</v>
      </c>
      <c r="N34" s="16">
        <f>推計世帯データテーブル!AF96/推計世帯データテーブル!$AI96</f>
        <v>0.39003200731595794</v>
      </c>
      <c r="O34" s="16">
        <f>推計世帯データテーブル!AG96/推計世帯データテーブル!$AI96</f>
        <v>0.43667123914037492</v>
      </c>
      <c r="P34" s="16">
        <f>推計世帯データテーブル!AH96/推計世帯データテーブル!$AI96</f>
        <v>0.17329675354366714</v>
      </c>
    </row>
    <row r="35" spans="13:16" x14ac:dyDescent="0.45">
      <c r="M35" s="14" t="s">
        <v>40</v>
      </c>
      <c r="N35" s="16">
        <f>推計世帯データテーブル!AF97/推計世帯データテーブル!$AI97</f>
        <v>0.40441176470588236</v>
      </c>
      <c r="O35" s="16">
        <f>推計世帯データテーブル!AG97/推計世帯データテーブル!$AI97</f>
        <v>0.39589783281733748</v>
      </c>
      <c r="P35" s="16">
        <f>推計世帯データテーブル!AH97/推計世帯データテーブル!$AI97</f>
        <v>0.19969040247678019</v>
      </c>
    </row>
    <row r="36" spans="13:16" x14ac:dyDescent="0.45">
      <c r="M36" s="14" t="s">
        <v>41</v>
      </c>
      <c r="N36" s="16">
        <f>推計世帯データテーブル!AF98/推計世帯データテーブル!$AI98</f>
        <v>0.45734908136482938</v>
      </c>
      <c r="O36" s="16">
        <f>推計世帯データテーブル!AG98/推計世帯データテーブル!$AI98</f>
        <v>0.32053805774278216</v>
      </c>
      <c r="P36" s="16">
        <f>推計世帯データテーブル!AH98/推計世帯データテーブル!$AI98</f>
        <v>0.22211286089238846</v>
      </c>
    </row>
    <row r="37" spans="13:16" x14ac:dyDescent="0.45">
      <c r="M37" s="14" t="s">
        <v>42</v>
      </c>
      <c r="N37" s="16">
        <f>推計世帯データテーブル!AF99/推計世帯データテーブル!$AI99</f>
        <v>0.48814120242691672</v>
      </c>
      <c r="O37" s="16">
        <f>推計世帯データテーブル!AG99/推計世帯データテーブル!$AI99</f>
        <v>0.31522338665195809</v>
      </c>
      <c r="P37" s="16">
        <f>推計世帯データテーブル!AH99/推計世帯データテーブル!$AI99</f>
        <v>0.19663541092112521</v>
      </c>
    </row>
  </sheetData>
  <mergeCells count="3">
    <mergeCell ref="B17:C17"/>
    <mergeCell ref="B4:C4"/>
    <mergeCell ref="B5:C5"/>
  </mergeCells>
  <phoneticPr fontI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C1:C31"/>
  <sheetViews>
    <sheetView showGridLines="0" zoomScaleNormal="100" zoomScaleSheetLayoutView="100" workbookViewId="0"/>
  </sheetViews>
  <sheetFormatPr defaultRowHeight="18.75" x14ac:dyDescent="0.45"/>
  <cols>
    <col min="1" max="1" width="0.77734375" customWidth="1"/>
    <col min="2" max="2" width="2.5546875" customWidth="1"/>
  </cols>
  <sheetData>
    <row r="1" spans="3:3" ht="19.5" x14ac:dyDescent="0.45">
      <c r="C1" s="81" t="s">
        <v>53</v>
      </c>
    </row>
    <row r="3" spans="3:3" x14ac:dyDescent="0.45">
      <c r="C3" s="75"/>
    </row>
    <row r="10" spans="3:3" x14ac:dyDescent="0.45">
      <c r="C10" s="75"/>
    </row>
    <row r="11" spans="3:3" x14ac:dyDescent="0.45">
      <c r="C11" t="s">
        <v>54</v>
      </c>
    </row>
    <row r="14" spans="3:3" x14ac:dyDescent="0.45">
      <c r="C14" s="79"/>
    </row>
    <row r="21" spans="3:3" x14ac:dyDescent="0.45">
      <c r="C21" t="s">
        <v>55</v>
      </c>
    </row>
    <row r="24" spans="3:3" ht="19.5" x14ac:dyDescent="0.45">
      <c r="C24" s="81"/>
    </row>
    <row r="31" spans="3:3" x14ac:dyDescent="0.45">
      <c r="C31" t="s">
        <v>56</v>
      </c>
    </row>
  </sheetData>
  <phoneticPr fontI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Q38"/>
  <sheetViews>
    <sheetView showGridLines="0" zoomScaleNormal="100" workbookViewId="0">
      <selection activeCell="B1" sqref="B1:I28"/>
    </sheetView>
  </sheetViews>
  <sheetFormatPr defaultRowHeight="18.75" x14ac:dyDescent="0.45"/>
  <cols>
    <col min="1" max="1" width="3" customWidth="1"/>
    <col min="11" max="11" width="3" customWidth="1"/>
    <col min="12" max="12" width="11" customWidth="1"/>
    <col min="13" max="16" width="17.6640625" customWidth="1"/>
    <col min="17" max="17" width="21.21875" customWidth="1"/>
  </cols>
  <sheetData>
    <row r="1" spans="2:17" ht="19.5" x14ac:dyDescent="0.45">
      <c r="B1" s="74" t="s">
        <v>57</v>
      </c>
    </row>
    <row r="2" spans="2:17" ht="19.5" x14ac:dyDescent="0.45">
      <c r="B2" s="74"/>
      <c r="K2" t="s">
        <v>58</v>
      </c>
    </row>
    <row r="3" spans="2:17" x14ac:dyDescent="0.45">
      <c r="B3" t="s">
        <v>59</v>
      </c>
    </row>
    <row r="4" spans="2:17" x14ac:dyDescent="0.45">
      <c r="K4" t="s">
        <v>59</v>
      </c>
    </row>
    <row r="5" spans="2:17" x14ac:dyDescent="0.45">
      <c r="L5" s="35"/>
      <c r="M5" s="73" t="s">
        <v>60</v>
      </c>
      <c r="N5" s="73" t="s">
        <v>61</v>
      </c>
      <c r="O5" s="73" t="s">
        <v>62</v>
      </c>
      <c r="P5" s="73" t="s">
        <v>44</v>
      </c>
      <c r="Q5" s="73" t="s">
        <v>63</v>
      </c>
    </row>
    <row r="6" spans="2:17" x14ac:dyDescent="0.45">
      <c r="L6" s="35" t="s">
        <v>2</v>
      </c>
      <c r="M6" s="7">
        <f>ROUND(世帯構成!E19*50.5%,0)</f>
        <v>265</v>
      </c>
      <c r="N6" s="7">
        <f>ROUND(世帯構成!F19*38.9%,0)</f>
        <v>373</v>
      </c>
      <c r="O6" s="7">
        <f>ROUND(世帯構成!G19*10.7%,0)</f>
        <v>184</v>
      </c>
      <c r="P6" s="5">
        <f>SUM(M6:O6)</f>
        <v>822</v>
      </c>
      <c r="Q6" s="16">
        <f>つながりの少ない者!P6/世帯構成!$D$4</f>
        <v>3.9152179090259587E-2</v>
      </c>
    </row>
    <row r="7" spans="2:17" x14ac:dyDescent="0.45">
      <c r="L7" s="35" t="s">
        <v>7</v>
      </c>
      <c r="M7" s="7">
        <f>ROUND(世帯構成!E29*50.5%,0)</f>
        <v>737</v>
      </c>
      <c r="N7" s="7">
        <f>ROUND(世帯構成!F29*38.9%,0)</f>
        <v>843</v>
      </c>
      <c r="O7" s="7">
        <f>ROUND(世帯構成!G29*10.7%,0)</f>
        <v>315</v>
      </c>
      <c r="P7" s="5">
        <f>SUM(M7:O7)</f>
        <v>1895</v>
      </c>
      <c r="Q7" s="16">
        <f>つながりの少ない者!P7/世帯構成!$I$4</f>
        <v>6.8874027767681908E-2</v>
      </c>
    </row>
    <row r="9" spans="2:17" x14ac:dyDescent="0.45">
      <c r="B9" s="109" t="s">
        <v>64</v>
      </c>
      <c r="D9" s="127" t="s">
        <v>65</v>
      </c>
      <c r="E9" s="127"/>
      <c r="F9" s="127" t="s">
        <v>66</v>
      </c>
      <c r="G9" s="127"/>
    </row>
    <row r="10" spans="2:17" x14ac:dyDescent="0.45">
      <c r="D10" s="125">
        <f>Q6</f>
        <v>3.9152179090259587E-2</v>
      </c>
      <c r="E10" s="126"/>
      <c r="F10" s="125">
        <f>Q7</f>
        <v>6.8874027767681908E-2</v>
      </c>
      <c r="G10" s="126"/>
    </row>
    <row r="12" spans="2:17" x14ac:dyDescent="0.45">
      <c r="B12" s="75" t="s">
        <v>67</v>
      </c>
      <c r="K12" t="s">
        <v>67</v>
      </c>
    </row>
    <row r="13" spans="2:17" x14ac:dyDescent="0.45">
      <c r="L13" s="35"/>
      <c r="M13" s="73" t="s">
        <v>60</v>
      </c>
      <c r="N13" s="73" t="s">
        <v>61</v>
      </c>
      <c r="O13" s="73" t="s">
        <v>62</v>
      </c>
      <c r="P13" s="73" t="s">
        <v>44</v>
      </c>
      <c r="Q13" s="73" t="s">
        <v>63</v>
      </c>
    </row>
    <row r="14" spans="2:17" x14ac:dyDescent="0.45">
      <c r="L14" s="35" t="s">
        <v>2</v>
      </c>
      <c r="M14" s="7">
        <f>ROUND(世帯構成!E19*45.5%,0)</f>
        <v>239</v>
      </c>
      <c r="N14" s="7">
        <f>ROUND(世帯構成!F19*20.3%,0)</f>
        <v>194</v>
      </c>
      <c r="O14" s="7">
        <f>ROUND(世帯構成!G19*14.7%,0)</f>
        <v>252</v>
      </c>
      <c r="P14" s="5">
        <f>SUM(M14:O14)</f>
        <v>685</v>
      </c>
      <c r="Q14" s="16">
        <f>つながりの少ない者!P14/世帯構成!$D$4</f>
        <v>3.2626815908549656E-2</v>
      </c>
    </row>
    <row r="15" spans="2:17" x14ac:dyDescent="0.45">
      <c r="L15" s="35" t="s">
        <v>7</v>
      </c>
      <c r="M15" s="7">
        <f>ROUND(世帯構成!E29*45.5%,0)</f>
        <v>664</v>
      </c>
      <c r="N15" s="7">
        <f>ROUND(世帯構成!F29*20.3%,0)</f>
        <v>440</v>
      </c>
      <c r="O15" s="7">
        <f>ROUND(世帯構成!G29*14.7%,0)</f>
        <v>433</v>
      </c>
      <c r="P15" s="5">
        <f>SUM(M15:O15)</f>
        <v>1537</v>
      </c>
      <c r="Q15" s="16">
        <f>つながりの少ない者!P15/世帯構成!$I$4</f>
        <v>5.5862470015264953E-2</v>
      </c>
    </row>
    <row r="18" spans="2:17" x14ac:dyDescent="0.45">
      <c r="B18" s="109" t="s">
        <v>64</v>
      </c>
      <c r="D18" s="127" t="s">
        <v>65</v>
      </c>
      <c r="E18" s="127"/>
      <c r="F18" s="127" t="s">
        <v>66</v>
      </c>
      <c r="G18" s="127"/>
    </row>
    <row r="19" spans="2:17" x14ac:dyDescent="0.45">
      <c r="D19" s="125">
        <f>Q14</f>
        <v>3.2626815908549656E-2</v>
      </c>
      <c r="E19" s="126"/>
      <c r="F19" s="125">
        <f>Q15</f>
        <v>5.5862470015264953E-2</v>
      </c>
      <c r="G19" s="126"/>
    </row>
    <row r="21" spans="2:17" x14ac:dyDescent="0.45">
      <c r="B21" s="38" t="s">
        <v>68</v>
      </c>
    </row>
    <row r="22" spans="2:17" x14ac:dyDescent="0.45">
      <c r="K22" s="38" t="s">
        <v>68</v>
      </c>
    </row>
    <row r="23" spans="2:17" x14ac:dyDescent="0.45">
      <c r="L23" s="35"/>
      <c r="M23" s="73" t="s">
        <v>60</v>
      </c>
      <c r="N23" s="73" t="s">
        <v>61</v>
      </c>
      <c r="O23" s="73" t="s">
        <v>62</v>
      </c>
      <c r="P23" s="73" t="s">
        <v>44</v>
      </c>
      <c r="Q23" s="73" t="s">
        <v>63</v>
      </c>
    </row>
    <row r="24" spans="2:17" x14ac:dyDescent="0.45">
      <c r="L24" s="35" t="s">
        <v>2</v>
      </c>
      <c r="M24" s="7">
        <f>ROUND(世帯構成!E19*69.4%,0)</f>
        <v>364</v>
      </c>
      <c r="N24" s="7">
        <f>ROUND(世帯構成!F19*58%,0)</f>
        <v>556</v>
      </c>
      <c r="O24" s="35">
        <f>ROUND(世帯構成!G19*37.8%,0)</f>
        <v>648</v>
      </c>
      <c r="P24" s="5">
        <f>SUM(M24:O24)</f>
        <v>1568</v>
      </c>
      <c r="Q24" s="16">
        <f>つながりの少ない者!P24/世帯構成!$D$4</f>
        <v>7.4684448678256729E-2</v>
      </c>
    </row>
    <row r="25" spans="2:17" x14ac:dyDescent="0.45">
      <c r="L25" s="35" t="s">
        <v>7</v>
      </c>
      <c r="M25" s="7">
        <f>ROUND(世帯構成!E29*69.4%,0)</f>
        <v>1013</v>
      </c>
      <c r="N25" s="7">
        <f>ROUND(世帯構成!F29*58%,0)</f>
        <v>1257</v>
      </c>
      <c r="O25" s="7">
        <f>ROUND(世帯構成!G29*37.8%,0)</f>
        <v>1114</v>
      </c>
      <c r="P25" s="5">
        <f>SUM(M25:O25)</f>
        <v>3384</v>
      </c>
      <c r="Q25" s="16">
        <f>つながりの少ない者!P25/世帯構成!$I$4</f>
        <v>0.12299193138038816</v>
      </c>
    </row>
    <row r="27" spans="2:17" x14ac:dyDescent="0.45">
      <c r="B27" s="109" t="s">
        <v>64</v>
      </c>
      <c r="D27" s="127" t="s">
        <v>65</v>
      </c>
      <c r="E27" s="127"/>
      <c r="F27" s="127" t="s">
        <v>66</v>
      </c>
      <c r="G27" s="127"/>
    </row>
    <row r="28" spans="2:17" x14ac:dyDescent="0.45">
      <c r="D28" s="125">
        <f>Q24</f>
        <v>7.4684448678256729E-2</v>
      </c>
      <c r="E28" s="126"/>
      <c r="F28" s="125">
        <f>Q25</f>
        <v>0.12299193138038816</v>
      </c>
      <c r="G28" s="126"/>
    </row>
    <row r="29" spans="2:17" x14ac:dyDescent="0.45">
      <c r="M29" s="36"/>
    </row>
    <row r="30" spans="2:17" ht="19.5" x14ac:dyDescent="0.45">
      <c r="B30" s="74" t="s">
        <v>69</v>
      </c>
      <c r="M30" s="11"/>
    </row>
    <row r="31" spans="2:17" x14ac:dyDescent="0.45">
      <c r="B31" t="s">
        <v>67</v>
      </c>
      <c r="M31" s="11"/>
    </row>
    <row r="32" spans="2:17" x14ac:dyDescent="0.45">
      <c r="B32" t="s">
        <v>70</v>
      </c>
    </row>
    <row r="33" spans="2:7" x14ac:dyDescent="0.45">
      <c r="C33" t="s">
        <v>71</v>
      </c>
      <c r="D33" s="23">
        <f>ROUND(世帯構成!I9*16.5%,0)</f>
        <v>281</v>
      </c>
      <c r="E33" s="23" t="s">
        <v>72</v>
      </c>
    </row>
    <row r="34" spans="2:7" x14ac:dyDescent="0.45">
      <c r="C34" t="s">
        <v>73</v>
      </c>
      <c r="D34" s="37">
        <f>ROUND(世帯構成!I14*16.5%,0)</f>
        <v>438</v>
      </c>
      <c r="E34" s="37" t="s">
        <v>72</v>
      </c>
    </row>
    <row r="36" spans="2:7" ht="19.5" x14ac:dyDescent="0.45">
      <c r="B36" s="74" t="s">
        <v>74</v>
      </c>
    </row>
    <row r="37" spans="2:7" x14ac:dyDescent="0.45">
      <c r="C37" s="36" t="s">
        <v>75</v>
      </c>
      <c r="F37" s="107">
        <f>ROUND(SUM(地域別男女５歳階級別人口!J6:N6)*1.57%,0)</f>
        <v>328</v>
      </c>
      <c r="G37" s="23" t="s">
        <v>76</v>
      </c>
    </row>
    <row r="38" spans="2:7" x14ac:dyDescent="0.45">
      <c r="C38" t="s">
        <v>77</v>
      </c>
      <c r="F38" s="108">
        <f>ROUND(SUM(地域別男女５歳階級別人口!O6:S6)*1.45%,0)</f>
        <v>293</v>
      </c>
      <c r="G38" s="37" t="s">
        <v>76</v>
      </c>
    </row>
  </sheetData>
  <mergeCells count="12">
    <mergeCell ref="D9:E9"/>
    <mergeCell ref="F9:G9"/>
    <mergeCell ref="D10:E10"/>
    <mergeCell ref="F10:G10"/>
    <mergeCell ref="D18:E18"/>
    <mergeCell ref="F18:G18"/>
    <mergeCell ref="D19:E19"/>
    <mergeCell ref="F19:G19"/>
    <mergeCell ref="D27:E27"/>
    <mergeCell ref="F27:G27"/>
    <mergeCell ref="D28:E28"/>
    <mergeCell ref="F28:G28"/>
  </mergeCells>
  <phoneticPr fontId="1"/>
  <pageMargins left="0.25" right="0.25" top="0.75" bottom="0.75" header="0.3" footer="0.3"/>
  <pageSetup paperSize="9" orientation="portrait" r:id="rId1"/>
  <ignoredErrors>
    <ignoredError sqref="F37:F3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C18"/>
  <sheetViews>
    <sheetView workbookViewId="0">
      <selection activeCell="H13" sqref="H13"/>
    </sheetView>
  </sheetViews>
  <sheetFormatPr defaultRowHeight="18.75" x14ac:dyDescent="0.45"/>
  <sheetData>
    <row r="1" spans="1:81" s="2" customFormat="1" x14ac:dyDescent="0.45">
      <c r="A1" s="2" t="s">
        <v>78</v>
      </c>
      <c r="J1" s="2" t="s">
        <v>79</v>
      </c>
    </row>
    <row r="2" spans="1:81" s="2" customFormat="1" x14ac:dyDescent="0.45"/>
    <row r="3" spans="1:81" s="2" customFormat="1" x14ac:dyDescent="0.45">
      <c r="A3" s="2" t="s">
        <v>80</v>
      </c>
      <c r="B3" s="2" t="s">
        <v>81</v>
      </c>
      <c r="C3" s="2" t="s">
        <v>82</v>
      </c>
      <c r="D3" s="2" t="s">
        <v>83</v>
      </c>
      <c r="E3" s="2" t="s">
        <v>84</v>
      </c>
      <c r="F3" s="2" t="s">
        <v>85</v>
      </c>
      <c r="AA3" s="2" t="s">
        <v>86</v>
      </c>
      <c r="AV3" s="2" t="s">
        <v>87</v>
      </c>
      <c r="BQ3" s="2" t="s">
        <v>88</v>
      </c>
      <c r="BS3" s="2" t="s">
        <v>89</v>
      </c>
      <c r="BT3" s="2" t="s">
        <v>90</v>
      </c>
      <c r="BU3" s="2" t="s">
        <v>91</v>
      </c>
      <c r="BY3" s="2" t="s">
        <v>92</v>
      </c>
      <c r="BZ3" s="2" t="s">
        <v>93</v>
      </c>
      <c r="CA3" s="2" t="s">
        <v>94</v>
      </c>
    </row>
    <row r="4" spans="1:81" s="2" customFormat="1" x14ac:dyDescent="0.45">
      <c r="F4" s="2" t="s">
        <v>85</v>
      </c>
      <c r="G4" s="2" t="s">
        <v>95</v>
      </c>
      <c r="H4" s="2" t="s">
        <v>96</v>
      </c>
      <c r="I4" s="2" t="s">
        <v>97</v>
      </c>
      <c r="J4" s="2" t="s">
        <v>98</v>
      </c>
      <c r="K4" s="2" t="s">
        <v>99</v>
      </c>
      <c r="L4" s="2" t="s">
        <v>100</v>
      </c>
      <c r="M4" s="2" t="s">
        <v>101</v>
      </c>
      <c r="N4" s="2" t="s">
        <v>102</v>
      </c>
      <c r="O4" s="2" t="s">
        <v>103</v>
      </c>
      <c r="P4" s="2" t="s">
        <v>104</v>
      </c>
      <c r="Q4" s="2" t="s">
        <v>105</v>
      </c>
      <c r="R4" s="2" t="s">
        <v>106</v>
      </c>
      <c r="S4" s="2" t="s">
        <v>107</v>
      </c>
      <c r="T4" s="2" t="s">
        <v>108</v>
      </c>
      <c r="U4" s="2" t="s">
        <v>109</v>
      </c>
      <c r="V4" s="2" t="s">
        <v>110</v>
      </c>
      <c r="W4" s="2" t="s">
        <v>111</v>
      </c>
      <c r="X4" s="2" t="s">
        <v>112</v>
      </c>
      <c r="Y4" s="2" t="s">
        <v>113</v>
      </c>
      <c r="AA4" s="2" t="s">
        <v>85</v>
      </c>
      <c r="AB4" s="2" t="s">
        <v>95</v>
      </c>
      <c r="AC4" s="2" t="s">
        <v>96</v>
      </c>
      <c r="AD4" s="2" t="s">
        <v>97</v>
      </c>
      <c r="AE4" s="2" t="s">
        <v>98</v>
      </c>
      <c r="AF4" s="2" t="s">
        <v>99</v>
      </c>
      <c r="AG4" s="2" t="s">
        <v>100</v>
      </c>
      <c r="AH4" s="2" t="s">
        <v>101</v>
      </c>
      <c r="AI4" s="2" t="s">
        <v>102</v>
      </c>
      <c r="AJ4" s="2" t="s">
        <v>103</v>
      </c>
      <c r="AK4" s="2" t="s">
        <v>104</v>
      </c>
      <c r="AL4" s="2" t="s">
        <v>105</v>
      </c>
      <c r="AM4" s="2" t="s">
        <v>106</v>
      </c>
      <c r="AN4" s="2" t="s">
        <v>107</v>
      </c>
      <c r="AO4" s="2" t="s">
        <v>108</v>
      </c>
      <c r="AP4" s="2" t="s">
        <v>109</v>
      </c>
      <c r="AQ4" s="2" t="s">
        <v>110</v>
      </c>
      <c r="AR4" s="2" t="s">
        <v>111</v>
      </c>
      <c r="AS4" s="2" t="s">
        <v>112</v>
      </c>
      <c r="AT4" s="2" t="s">
        <v>113</v>
      </c>
      <c r="AV4" s="2" t="s">
        <v>85</v>
      </c>
      <c r="AW4" s="2" t="s">
        <v>95</v>
      </c>
      <c r="AX4" s="2" t="s">
        <v>96</v>
      </c>
      <c r="AY4" s="2" t="s">
        <v>97</v>
      </c>
      <c r="AZ4" s="2" t="s">
        <v>98</v>
      </c>
      <c r="BA4" s="2" t="s">
        <v>99</v>
      </c>
      <c r="BB4" s="2" t="s">
        <v>100</v>
      </c>
      <c r="BC4" s="2" t="s">
        <v>101</v>
      </c>
      <c r="BD4" s="2" t="s">
        <v>102</v>
      </c>
      <c r="BE4" s="2" t="s">
        <v>103</v>
      </c>
      <c r="BF4" s="2" t="s">
        <v>104</v>
      </c>
      <c r="BG4" s="2" t="s">
        <v>105</v>
      </c>
      <c r="BH4" s="2" t="s">
        <v>106</v>
      </c>
      <c r="BI4" s="2" t="s">
        <v>107</v>
      </c>
      <c r="BJ4" s="2" t="s">
        <v>108</v>
      </c>
      <c r="BK4" s="2" t="s">
        <v>109</v>
      </c>
      <c r="BL4" s="2" t="s">
        <v>110</v>
      </c>
      <c r="BM4" s="2" t="s">
        <v>111</v>
      </c>
      <c r="BN4" s="2" t="s">
        <v>112</v>
      </c>
      <c r="BO4" s="2" t="s">
        <v>113</v>
      </c>
      <c r="BV4" s="2" t="s">
        <v>114</v>
      </c>
      <c r="BW4" s="2" t="s">
        <v>115</v>
      </c>
      <c r="CB4" s="2" t="s">
        <v>116</v>
      </c>
      <c r="CC4" s="2" t="s">
        <v>117</v>
      </c>
    </row>
    <row r="5" spans="1:81" x14ac:dyDescent="0.45">
      <c r="A5">
        <v>12345</v>
      </c>
      <c r="B5">
        <v>2</v>
      </c>
      <c r="C5" t="s">
        <v>118</v>
      </c>
      <c r="D5" t="s">
        <v>119</v>
      </c>
      <c r="E5" t="s">
        <v>37</v>
      </c>
      <c r="F5">
        <v>57598</v>
      </c>
      <c r="G5">
        <v>3609</v>
      </c>
      <c r="H5">
        <v>3302</v>
      </c>
      <c r="I5">
        <v>3024</v>
      </c>
      <c r="J5">
        <v>3811</v>
      </c>
      <c r="K5">
        <v>4691</v>
      </c>
      <c r="L5">
        <v>3132</v>
      </c>
      <c r="M5">
        <v>4204</v>
      </c>
      <c r="N5">
        <v>4990</v>
      </c>
      <c r="O5">
        <v>5295</v>
      </c>
      <c r="P5">
        <v>4175</v>
      </c>
      <c r="Q5">
        <v>3348</v>
      </c>
      <c r="R5">
        <v>2527</v>
      </c>
      <c r="S5">
        <v>2541</v>
      </c>
      <c r="T5">
        <v>2909</v>
      </c>
      <c r="U5">
        <v>2333</v>
      </c>
      <c r="V5">
        <v>1620</v>
      </c>
      <c r="W5">
        <v>1107</v>
      </c>
      <c r="X5">
        <v>663</v>
      </c>
      <c r="Y5">
        <v>317</v>
      </c>
      <c r="AA5">
        <v>28419</v>
      </c>
      <c r="AB5">
        <v>1859</v>
      </c>
      <c r="AC5">
        <v>1649</v>
      </c>
      <c r="AD5">
        <v>1546</v>
      </c>
      <c r="AE5">
        <v>1965</v>
      </c>
      <c r="AF5">
        <v>2396</v>
      </c>
      <c r="AG5">
        <v>1474</v>
      </c>
      <c r="AH5">
        <v>2037</v>
      </c>
      <c r="AI5">
        <v>2514</v>
      </c>
      <c r="AJ5">
        <v>2653</v>
      </c>
      <c r="AK5">
        <v>2137</v>
      </c>
      <c r="AL5">
        <v>1702</v>
      </c>
      <c r="AM5">
        <v>1236</v>
      </c>
      <c r="AN5">
        <v>1233</v>
      </c>
      <c r="AO5">
        <v>1371</v>
      </c>
      <c r="AP5">
        <v>1090</v>
      </c>
      <c r="AQ5">
        <v>782</v>
      </c>
      <c r="AR5">
        <v>484</v>
      </c>
      <c r="AS5">
        <v>225</v>
      </c>
      <c r="AT5">
        <v>66</v>
      </c>
      <c r="AV5">
        <v>29179</v>
      </c>
      <c r="AW5">
        <v>1750</v>
      </c>
      <c r="AX5">
        <v>1653</v>
      </c>
      <c r="AY5">
        <v>1478</v>
      </c>
      <c r="AZ5">
        <v>1846</v>
      </c>
      <c r="BA5">
        <v>2295</v>
      </c>
      <c r="BB5">
        <v>1658</v>
      </c>
      <c r="BC5">
        <v>2167</v>
      </c>
      <c r="BD5">
        <v>2476</v>
      </c>
      <c r="BE5">
        <v>2642</v>
      </c>
      <c r="BF5">
        <v>2038</v>
      </c>
      <c r="BG5">
        <v>1646</v>
      </c>
      <c r="BH5">
        <v>1291</v>
      </c>
      <c r="BI5">
        <v>1308</v>
      </c>
      <c r="BJ5">
        <v>1538</v>
      </c>
      <c r="BK5">
        <v>1243</v>
      </c>
      <c r="BL5">
        <v>838</v>
      </c>
      <c r="BM5">
        <v>623</v>
      </c>
      <c r="BN5">
        <v>438</v>
      </c>
      <c r="BO5">
        <v>251</v>
      </c>
      <c r="BQ5">
        <v>100</v>
      </c>
      <c r="BS5">
        <v>9935</v>
      </c>
      <c r="BT5">
        <v>38714</v>
      </c>
      <c r="BU5">
        <v>8949</v>
      </c>
      <c r="BV5">
        <v>5242</v>
      </c>
      <c r="BW5">
        <v>3707</v>
      </c>
      <c r="BY5">
        <v>17.2</v>
      </c>
      <c r="BZ5">
        <v>67.2</v>
      </c>
      <c r="CA5">
        <v>15.5</v>
      </c>
      <c r="CB5">
        <v>9.1</v>
      </c>
      <c r="CC5">
        <v>6.4</v>
      </c>
    </row>
    <row r="6" spans="1:81" x14ac:dyDescent="0.45">
      <c r="A6">
        <v>12345</v>
      </c>
      <c r="B6">
        <v>2</v>
      </c>
      <c r="C6" t="s">
        <v>118</v>
      </c>
      <c r="D6" t="s">
        <v>119</v>
      </c>
      <c r="E6" t="s">
        <v>38</v>
      </c>
      <c r="F6">
        <v>62214</v>
      </c>
      <c r="G6">
        <v>3801</v>
      </c>
      <c r="H6">
        <v>3583</v>
      </c>
      <c r="I6">
        <v>3286</v>
      </c>
      <c r="J6">
        <v>3917</v>
      </c>
      <c r="K6">
        <v>5265</v>
      </c>
      <c r="L6">
        <v>3233</v>
      </c>
      <c r="M6">
        <v>3826</v>
      </c>
      <c r="N6">
        <v>4644</v>
      </c>
      <c r="O6">
        <v>5052</v>
      </c>
      <c r="P6">
        <v>5219</v>
      </c>
      <c r="Q6">
        <v>4124</v>
      </c>
      <c r="R6">
        <v>3289</v>
      </c>
      <c r="S6">
        <v>2503</v>
      </c>
      <c r="T6">
        <v>2526</v>
      </c>
      <c r="U6">
        <v>2866</v>
      </c>
      <c r="V6">
        <v>2214</v>
      </c>
      <c r="W6">
        <v>1448</v>
      </c>
      <c r="X6">
        <v>892</v>
      </c>
      <c r="Y6">
        <v>526</v>
      </c>
      <c r="AA6">
        <v>30304</v>
      </c>
      <c r="AB6">
        <v>1949</v>
      </c>
      <c r="AC6">
        <v>1810</v>
      </c>
      <c r="AD6">
        <v>1646</v>
      </c>
      <c r="AE6">
        <v>1996</v>
      </c>
      <c r="AF6">
        <v>2679</v>
      </c>
      <c r="AG6">
        <v>1501</v>
      </c>
      <c r="AH6">
        <v>1814</v>
      </c>
      <c r="AI6">
        <v>2260</v>
      </c>
      <c r="AJ6">
        <v>2531</v>
      </c>
      <c r="AK6">
        <v>2553</v>
      </c>
      <c r="AL6">
        <v>2086</v>
      </c>
      <c r="AM6">
        <v>1631</v>
      </c>
      <c r="AN6">
        <v>1218</v>
      </c>
      <c r="AO6">
        <v>1186</v>
      </c>
      <c r="AP6">
        <v>1325</v>
      </c>
      <c r="AQ6">
        <v>989</v>
      </c>
      <c r="AR6">
        <v>659</v>
      </c>
      <c r="AS6">
        <v>343</v>
      </c>
      <c r="AT6">
        <v>128</v>
      </c>
      <c r="AV6">
        <v>31910</v>
      </c>
      <c r="AW6">
        <v>1852</v>
      </c>
      <c r="AX6">
        <v>1773</v>
      </c>
      <c r="AY6">
        <v>1640</v>
      </c>
      <c r="AZ6">
        <v>1921</v>
      </c>
      <c r="BA6">
        <v>2586</v>
      </c>
      <c r="BB6">
        <v>1732</v>
      </c>
      <c r="BC6">
        <v>2012</v>
      </c>
      <c r="BD6">
        <v>2384</v>
      </c>
      <c r="BE6">
        <v>2521</v>
      </c>
      <c r="BF6">
        <v>2666</v>
      </c>
      <c r="BG6">
        <v>2038</v>
      </c>
      <c r="BH6">
        <v>1658</v>
      </c>
      <c r="BI6">
        <v>1285</v>
      </c>
      <c r="BJ6">
        <v>1340</v>
      </c>
      <c r="BK6">
        <v>1541</v>
      </c>
      <c r="BL6">
        <v>1225</v>
      </c>
      <c r="BM6">
        <v>789</v>
      </c>
      <c r="BN6">
        <v>549</v>
      </c>
      <c r="BO6">
        <v>398</v>
      </c>
      <c r="BQ6">
        <v>108</v>
      </c>
      <c r="BS6">
        <v>10670</v>
      </c>
      <c r="BT6">
        <v>41072</v>
      </c>
      <c r="BU6">
        <v>10472</v>
      </c>
      <c r="BV6">
        <v>5392</v>
      </c>
      <c r="BW6">
        <v>5080</v>
      </c>
      <c r="BY6">
        <v>17.2</v>
      </c>
      <c r="BZ6">
        <v>66</v>
      </c>
      <c r="CA6">
        <v>16.8</v>
      </c>
      <c r="CB6">
        <v>8.6999999999999993</v>
      </c>
      <c r="CC6">
        <v>8.1999999999999993</v>
      </c>
    </row>
    <row r="7" spans="1:81" x14ac:dyDescent="0.45">
      <c r="A7">
        <v>12345</v>
      </c>
      <c r="B7">
        <v>2</v>
      </c>
      <c r="C7" t="s">
        <v>118</v>
      </c>
      <c r="D7" t="s">
        <v>119</v>
      </c>
      <c r="E7" t="s">
        <v>39</v>
      </c>
      <c r="F7">
        <v>65514</v>
      </c>
      <c r="G7">
        <v>3756</v>
      </c>
      <c r="H7">
        <v>3720</v>
      </c>
      <c r="I7">
        <v>3531</v>
      </c>
      <c r="J7">
        <v>4104</v>
      </c>
      <c r="K7">
        <v>5194</v>
      </c>
      <c r="L7">
        <v>3572</v>
      </c>
      <c r="M7">
        <v>3840</v>
      </c>
      <c r="N7">
        <v>4231</v>
      </c>
      <c r="O7">
        <v>4683</v>
      </c>
      <c r="P7">
        <v>4924</v>
      </c>
      <c r="Q7">
        <v>5117</v>
      </c>
      <c r="R7">
        <v>4031</v>
      </c>
      <c r="S7">
        <v>3233</v>
      </c>
      <c r="T7">
        <v>2480</v>
      </c>
      <c r="U7">
        <v>2486</v>
      </c>
      <c r="V7">
        <v>2732</v>
      </c>
      <c r="W7">
        <v>1975</v>
      </c>
      <c r="X7">
        <v>1157</v>
      </c>
      <c r="Y7">
        <v>748</v>
      </c>
      <c r="AA7">
        <v>31560</v>
      </c>
      <c r="AB7">
        <v>1926</v>
      </c>
      <c r="AC7">
        <v>1875</v>
      </c>
      <c r="AD7">
        <v>1785</v>
      </c>
      <c r="AE7">
        <v>2060</v>
      </c>
      <c r="AF7">
        <v>2619</v>
      </c>
      <c r="AG7">
        <v>1660</v>
      </c>
      <c r="AH7">
        <v>1821</v>
      </c>
      <c r="AI7">
        <v>2031</v>
      </c>
      <c r="AJ7">
        <v>2280</v>
      </c>
      <c r="AK7">
        <v>2405</v>
      </c>
      <c r="AL7">
        <v>2478</v>
      </c>
      <c r="AM7">
        <v>1989</v>
      </c>
      <c r="AN7">
        <v>1595</v>
      </c>
      <c r="AO7">
        <v>1170</v>
      </c>
      <c r="AP7">
        <v>1145</v>
      </c>
      <c r="AQ7">
        <v>1212</v>
      </c>
      <c r="AR7">
        <v>838</v>
      </c>
      <c r="AS7">
        <v>468</v>
      </c>
      <c r="AT7">
        <v>203</v>
      </c>
      <c r="AV7">
        <v>33954</v>
      </c>
      <c r="AW7">
        <v>1830</v>
      </c>
      <c r="AX7">
        <v>1845</v>
      </c>
      <c r="AY7">
        <v>1746</v>
      </c>
      <c r="AZ7">
        <v>2044</v>
      </c>
      <c r="BA7">
        <v>2575</v>
      </c>
      <c r="BB7">
        <v>1912</v>
      </c>
      <c r="BC7">
        <v>2019</v>
      </c>
      <c r="BD7">
        <v>2200</v>
      </c>
      <c r="BE7">
        <v>2403</v>
      </c>
      <c r="BF7">
        <v>2519</v>
      </c>
      <c r="BG7">
        <v>2639</v>
      </c>
      <c r="BH7">
        <v>2042</v>
      </c>
      <c r="BI7">
        <v>1638</v>
      </c>
      <c r="BJ7">
        <v>1310</v>
      </c>
      <c r="BK7">
        <v>1341</v>
      </c>
      <c r="BL7">
        <v>1520</v>
      </c>
      <c r="BM7">
        <v>1137</v>
      </c>
      <c r="BN7">
        <v>689</v>
      </c>
      <c r="BO7">
        <v>545</v>
      </c>
      <c r="BQ7">
        <v>113.7</v>
      </c>
      <c r="BS7">
        <v>11007</v>
      </c>
      <c r="BT7">
        <v>42929</v>
      </c>
      <c r="BU7">
        <v>11578</v>
      </c>
      <c r="BV7">
        <v>4966</v>
      </c>
      <c r="BW7">
        <v>6612</v>
      </c>
      <c r="BY7">
        <v>16.8</v>
      </c>
      <c r="BZ7">
        <v>65.5</v>
      </c>
      <c r="CA7">
        <v>17.7</v>
      </c>
      <c r="CB7">
        <v>7.6</v>
      </c>
      <c r="CC7">
        <v>10.1</v>
      </c>
    </row>
    <row r="8" spans="1:81" x14ac:dyDescent="0.45">
      <c r="A8">
        <v>12345</v>
      </c>
      <c r="B8">
        <v>2</v>
      </c>
      <c r="C8" t="s">
        <v>118</v>
      </c>
      <c r="D8" t="s">
        <v>119</v>
      </c>
      <c r="E8" t="s">
        <v>40</v>
      </c>
      <c r="F8">
        <v>67950</v>
      </c>
      <c r="G8">
        <v>3846</v>
      </c>
      <c r="H8">
        <v>3639</v>
      </c>
      <c r="I8">
        <v>3646</v>
      </c>
      <c r="J8">
        <v>4267</v>
      </c>
      <c r="K8">
        <v>5215</v>
      </c>
      <c r="L8">
        <v>3492</v>
      </c>
      <c r="M8">
        <v>4131</v>
      </c>
      <c r="N8">
        <v>4184</v>
      </c>
      <c r="O8">
        <v>4263</v>
      </c>
      <c r="P8">
        <v>4555</v>
      </c>
      <c r="Q8">
        <v>4789</v>
      </c>
      <c r="R8">
        <v>4973</v>
      </c>
      <c r="S8">
        <v>3950</v>
      </c>
      <c r="T8">
        <v>3181</v>
      </c>
      <c r="U8">
        <v>2434</v>
      </c>
      <c r="V8">
        <v>2367</v>
      </c>
      <c r="W8">
        <v>2461</v>
      </c>
      <c r="X8">
        <v>1570</v>
      </c>
      <c r="Y8">
        <v>987</v>
      </c>
      <c r="AA8">
        <v>32444</v>
      </c>
      <c r="AB8">
        <v>1972</v>
      </c>
      <c r="AC8">
        <v>1836</v>
      </c>
      <c r="AD8">
        <v>1837</v>
      </c>
      <c r="AE8">
        <v>2154</v>
      </c>
      <c r="AF8">
        <v>2608</v>
      </c>
      <c r="AG8">
        <v>1612</v>
      </c>
      <c r="AH8">
        <v>1960</v>
      </c>
      <c r="AI8">
        <v>2010</v>
      </c>
      <c r="AJ8">
        <v>2053</v>
      </c>
      <c r="AK8">
        <v>2168</v>
      </c>
      <c r="AL8">
        <v>2313</v>
      </c>
      <c r="AM8">
        <v>2351</v>
      </c>
      <c r="AN8">
        <v>1941</v>
      </c>
      <c r="AO8">
        <v>1525</v>
      </c>
      <c r="AP8">
        <v>1128</v>
      </c>
      <c r="AQ8">
        <v>1048</v>
      </c>
      <c r="AR8">
        <v>1043</v>
      </c>
      <c r="AS8">
        <v>600</v>
      </c>
      <c r="AT8">
        <v>285</v>
      </c>
      <c r="AV8">
        <v>35506</v>
      </c>
      <c r="AW8">
        <v>1874</v>
      </c>
      <c r="AX8">
        <v>1803</v>
      </c>
      <c r="AY8">
        <v>1809</v>
      </c>
      <c r="AZ8">
        <v>2113</v>
      </c>
      <c r="BA8">
        <v>2607</v>
      </c>
      <c r="BB8">
        <v>1880</v>
      </c>
      <c r="BC8">
        <v>2171</v>
      </c>
      <c r="BD8">
        <v>2174</v>
      </c>
      <c r="BE8">
        <v>2210</v>
      </c>
      <c r="BF8">
        <v>2387</v>
      </c>
      <c r="BG8">
        <v>2476</v>
      </c>
      <c r="BH8">
        <v>2622</v>
      </c>
      <c r="BI8">
        <v>2009</v>
      </c>
      <c r="BJ8">
        <v>1656</v>
      </c>
      <c r="BK8">
        <v>1306</v>
      </c>
      <c r="BL8">
        <v>1319</v>
      </c>
      <c r="BM8">
        <v>1418</v>
      </c>
      <c r="BN8">
        <v>970</v>
      </c>
      <c r="BO8">
        <v>702</v>
      </c>
      <c r="BQ8">
        <v>118</v>
      </c>
      <c r="BS8">
        <v>11131</v>
      </c>
      <c r="BT8">
        <v>43819</v>
      </c>
      <c r="BU8">
        <v>13000</v>
      </c>
      <c r="BV8">
        <v>5615</v>
      </c>
      <c r="BW8">
        <v>7385</v>
      </c>
      <c r="BY8">
        <v>16.399999999999999</v>
      </c>
      <c r="BZ8">
        <v>64.5</v>
      </c>
      <c r="CA8">
        <v>19.100000000000001</v>
      </c>
      <c r="CB8">
        <v>8.3000000000000007</v>
      </c>
      <c r="CC8">
        <v>10.9</v>
      </c>
    </row>
    <row r="9" spans="1:81" x14ac:dyDescent="0.45">
      <c r="A9">
        <v>12345</v>
      </c>
      <c r="B9">
        <v>2</v>
      </c>
      <c r="C9" t="s">
        <v>118</v>
      </c>
      <c r="D9" t="s">
        <v>119</v>
      </c>
      <c r="E9" t="s">
        <v>41</v>
      </c>
      <c r="F9">
        <v>69563</v>
      </c>
      <c r="G9">
        <v>3895</v>
      </c>
      <c r="H9">
        <v>3703</v>
      </c>
      <c r="I9">
        <v>3553</v>
      </c>
      <c r="J9">
        <v>4325</v>
      </c>
      <c r="K9">
        <v>5204</v>
      </c>
      <c r="L9">
        <v>3474</v>
      </c>
      <c r="M9">
        <v>3982</v>
      </c>
      <c r="N9">
        <v>4453</v>
      </c>
      <c r="O9">
        <v>4190</v>
      </c>
      <c r="P9">
        <v>4144</v>
      </c>
      <c r="Q9">
        <v>4426</v>
      </c>
      <c r="R9">
        <v>4624</v>
      </c>
      <c r="S9">
        <v>4849</v>
      </c>
      <c r="T9">
        <v>3880</v>
      </c>
      <c r="U9">
        <v>3104</v>
      </c>
      <c r="V9">
        <v>2314</v>
      </c>
      <c r="W9">
        <v>2131</v>
      </c>
      <c r="X9">
        <v>1987</v>
      </c>
      <c r="Y9">
        <v>1325</v>
      </c>
      <c r="AA9">
        <v>32984</v>
      </c>
      <c r="AB9">
        <v>1997</v>
      </c>
      <c r="AC9">
        <v>1870</v>
      </c>
      <c r="AD9">
        <v>1791</v>
      </c>
      <c r="AE9">
        <v>2177</v>
      </c>
      <c r="AF9">
        <v>2610</v>
      </c>
      <c r="AG9">
        <v>1597</v>
      </c>
      <c r="AH9">
        <v>1878</v>
      </c>
      <c r="AI9">
        <v>2139</v>
      </c>
      <c r="AJ9">
        <v>2019</v>
      </c>
      <c r="AK9">
        <v>1953</v>
      </c>
      <c r="AL9">
        <v>2086</v>
      </c>
      <c r="AM9">
        <v>2180</v>
      </c>
      <c r="AN9">
        <v>2288</v>
      </c>
      <c r="AO9">
        <v>1855</v>
      </c>
      <c r="AP9">
        <v>1463</v>
      </c>
      <c r="AQ9">
        <v>1035</v>
      </c>
      <c r="AR9">
        <v>903</v>
      </c>
      <c r="AS9">
        <v>764</v>
      </c>
      <c r="AT9">
        <v>379</v>
      </c>
      <c r="AV9">
        <v>36579</v>
      </c>
      <c r="AW9">
        <v>1898</v>
      </c>
      <c r="AX9">
        <v>1833</v>
      </c>
      <c r="AY9">
        <v>1762</v>
      </c>
      <c r="AZ9">
        <v>2148</v>
      </c>
      <c r="BA9">
        <v>2594</v>
      </c>
      <c r="BB9">
        <v>1877</v>
      </c>
      <c r="BC9">
        <v>2104</v>
      </c>
      <c r="BD9">
        <v>2314</v>
      </c>
      <c r="BE9">
        <v>2171</v>
      </c>
      <c r="BF9">
        <v>2191</v>
      </c>
      <c r="BG9">
        <v>2340</v>
      </c>
      <c r="BH9">
        <v>2444</v>
      </c>
      <c r="BI9">
        <v>2561</v>
      </c>
      <c r="BJ9">
        <v>2025</v>
      </c>
      <c r="BK9">
        <v>1641</v>
      </c>
      <c r="BL9">
        <v>1279</v>
      </c>
      <c r="BM9">
        <v>1228</v>
      </c>
      <c r="BN9">
        <v>1223</v>
      </c>
      <c r="BO9">
        <v>946</v>
      </c>
      <c r="BQ9">
        <v>120.8</v>
      </c>
      <c r="BS9">
        <v>11151</v>
      </c>
      <c r="BT9">
        <v>43671</v>
      </c>
      <c r="BU9">
        <v>14741</v>
      </c>
      <c r="BV9">
        <v>6984</v>
      </c>
      <c r="BW9">
        <v>7757</v>
      </c>
      <c r="BY9">
        <v>16</v>
      </c>
      <c r="BZ9">
        <v>62.8</v>
      </c>
      <c r="CA9">
        <v>21.2</v>
      </c>
      <c r="CB9">
        <v>10</v>
      </c>
      <c r="CC9">
        <v>11.2</v>
      </c>
    </row>
    <row r="10" spans="1:81" x14ac:dyDescent="0.45">
      <c r="A10">
        <v>12345</v>
      </c>
      <c r="B10">
        <v>2</v>
      </c>
      <c r="C10" t="s">
        <v>118</v>
      </c>
      <c r="D10" t="s">
        <v>119</v>
      </c>
      <c r="E10" t="s">
        <v>42</v>
      </c>
      <c r="F10">
        <v>70432</v>
      </c>
      <c r="G10">
        <v>3857</v>
      </c>
      <c r="H10">
        <v>3735</v>
      </c>
      <c r="I10">
        <v>3606</v>
      </c>
      <c r="J10">
        <v>4155</v>
      </c>
      <c r="K10">
        <v>5147</v>
      </c>
      <c r="L10">
        <v>3428</v>
      </c>
      <c r="M10">
        <v>3908</v>
      </c>
      <c r="N10">
        <v>4272</v>
      </c>
      <c r="O10">
        <v>4443</v>
      </c>
      <c r="P10">
        <v>4063</v>
      </c>
      <c r="Q10">
        <v>4027</v>
      </c>
      <c r="R10">
        <v>4268</v>
      </c>
      <c r="S10">
        <v>4485</v>
      </c>
      <c r="T10">
        <v>4754</v>
      </c>
      <c r="U10">
        <v>3781</v>
      </c>
      <c r="V10">
        <v>2934</v>
      </c>
      <c r="W10">
        <v>2086</v>
      </c>
      <c r="X10">
        <v>1715</v>
      </c>
      <c r="Y10">
        <v>1768</v>
      </c>
      <c r="AA10">
        <v>33197</v>
      </c>
      <c r="AB10">
        <v>1977</v>
      </c>
      <c r="AC10">
        <v>1887</v>
      </c>
      <c r="AD10">
        <v>1818</v>
      </c>
      <c r="AE10">
        <v>2092</v>
      </c>
      <c r="AF10">
        <v>2577</v>
      </c>
      <c r="AG10">
        <v>1583</v>
      </c>
      <c r="AH10">
        <v>1839</v>
      </c>
      <c r="AI10">
        <v>2040</v>
      </c>
      <c r="AJ10">
        <v>2140</v>
      </c>
      <c r="AK10">
        <v>1916</v>
      </c>
      <c r="AL10">
        <v>1881</v>
      </c>
      <c r="AM10">
        <v>1966</v>
      </c>
      <c r="AN10">
        <v>2110</v>
      </c>
      <c r="AO10">
        <v>2184</v>
      </c>
      <c r="AP10">
        <v>1780</v>
      </c>
      <c r="AQ10">
        <v>1341</v>
      </c>
      <c r="AR10">
        <v>897</v>
      </c>
      <c r="AS10">
        <v>660</v>
      </c>
      <c r="AT10">
        <v>509</v>
      </c>
      <c r="AV10">
        <v>37235</v>
      </c>
      <c r="AW10">
        <v>1880</v>
      </c>
      <c r="AX10">
        <v>1848</v>
      </c>
      <c r="AY10">
        <v>1788</v>
      </c>
      <c r="AZ10">
        <v>2063</v>
      </c>
      <c r="BA10">
        <v>2570</v>
      </c>
      <c r="BB10">
        <v>1845</v>
      </c>
      <c r="BC10">
        <v>2069</v>
      </c>
      <c r="BD10">
        <v>2232</v>
      </c>
      <c r="BE10">
        <v>2303</v>
      </c>
      <c r="BF10">
        <v>2147</v>
      </c>
      <c r="BG10">
        <v>2146</v>
      </c>
      <c r="BH10">
        <v>2302</v>
      </c>
      <c r="BI10">
        <v>2375</v>
      </c>
      <c r="BJ10">
        <v>2570</v>
      </c>
      <c r="BK10">
        <v>2001</v>
      </c>
      <c r="BL10">
        <v>1593</v>
      </c>
      <c r="BM10">
        <v>1189</v>
      </c>
      <c r="BN10">
        <v>1055</v>
      </c>
      <c r="BO10">
        <v>1259</v>
      </c>
      <c r="BQ10">
        <v>122.3</v>
      </c>
      <c r="BS10">
        <v>11198</v>
      </c>
      <c r="BT10">
        <v>42196</v>
      </c>
      <c r="BU10">
        <v>17038</v>
      </c>
      <c r="BV10">
        <v>8535</v>
      </c>
      <c r="BW10">
        <v>8503</v>
      </c>
      <c r="BY10">
        <v>15.9</v>
      </c>
      <c r="BZ10">
        <v>59.9</v>
      </c>
      <c r="CA10">
        <v>24.2</v>
      </c>
      <c r="CB10">
        <v>12.1</v>
      </c>
      <c r="CC10">
        <v>12.1</v>
      </c>
    </row>
    <row r="11" spans="1:81" x14ac:dyDescent="0.45">
      <c r="A11">
        <v>12345</v>
      </c>
      <c r="B11">
        <v>2</v>
      </c>
      <c r="C11" t="s">
        <v>118</v>
      </c>
      <c r="D11" t="s">
        <v>119</v>
      </c>
      <c r="E11" t="s">
        <v>120</v>
      </c>
      <c r="F11">
        <v>70660</v>
      </c>
      <c r="G11">
        <v>3763</v>
      </c>
      <c r="H11">
        <v>3688</v>
      </c>
      <c r="I11">
        <v>3629</v>
      </c>
      <c r="J11">
        <v>4171</v>
      </c>
      <c r="K11">
        <v>4845</v>
      </c>
      <c r="L11">
        <v>3368</v>
      </c>
      <c r="M11">
        <v>3794</v>
      </c>
      <c r="N11">
        <v>4171</v>
      </c>
      <c r="O11">
        <v>4255</v>
      </c>
      <c r="P11">
        <v>4299</v>
      </c>
      <c r="Q11">
        <v>3942</v>
      </c>
      <c r="R11">
        <v>3886</v>
      </c>
      <c r="S11">
        <v>4139</v>
      </c>
      <c r="T11">
        <v>4386</v>
      </c>
      <c r="U11">
        <v>4624</v>
      </c>
      <c r="V11">
        <v>3571</v>
      </c>
      <c r="W11">
        <v>2641</v>
      </c>
      <c r="X11">
        <v>1685</v>
      </c>
      <c r="Y11">
        <v>1803</v>
      </c>
      <c r="AA11">
        <v>33137</v>
      </c>
      <c r="AB11">
        <v>1929</v>
      </c>
      <c r="AC11">
        <v>1864</v>
      </c>
      <c r="AD11">
        <v>1830</v>
      </c>
      <c r="AE11">
        <v>2100</v>
      </c>
      <c r="AF11">
        <v>2426</v>
      </c>
      <c r="AG11">
        <v>1556</v>
      </c>
      <c r="AH11">
        <v>1788</v>
      </c>
      <c r="AI11">
        <v>1988</v>
      </c>
      <c r="AJ11">
        <v>2038</v>
      </c>
      <c r="AK11">
        <v>2026</v>
      </c>
      <c r="AL11">
        <v>1842</v>
      </c>
      <c r="AM11">
        <v>1775</v>
      </c>
      <c r="AN11">
        <v>1906</v>
      </c>
      <c r="AO11">
        <v>2011</v>
      </c>
      <c r="AP11">
        <v>2094</v>
      </c>
      <c r="AQ11">
        <v>1634</v>
      </c>
      <c r="AR11">
        <v>1165</v>
      </c>
      <c r="AS11">
        <v>663</v>
      </c>
      <c r="AT11">
        <v>502</v>
      </c>
      <c r="AV11">
        <v>37523</v>
      </c>
      <c r="AW11">
        <v>1834</v>
      </c>
      <c r="AX11">
        <v>1824</v>
      </c>
      <c r="AY11">
        <v>1799</v>
      </c>
      <c r="AZ11">
        <v>2071</v>
      </c>
      <c r="BA11">
        <v>2419</v>
      </c>
      <c r="BB11">
        <v>1812</v>
      </c>
      <c r="BC11">
        <v>2006</v>
      </c>
      <c r="BD11">
        <v>2183</v>
      </c>
      <c r="BE11">
        <v>2217</v>
      </c>
      <c r="BF11">
        <v>2273</v>
      </c>
      <c r="BG11">
        <v>2100</v>
      </c>
      <c r="BH11">
        <v>2111</v>
      </c>
      <c r="BI11">
        <v>2233</v>
      </c>
      <c r="BJ11">
        <v>2375</v>
      </c>
      <c r="BK11">
        <v>2530</v>
      </c>
      <c r="BL11">
        <v>1937</v>
      </c>
      <c r="BM11">
        <v>1476</v>
      </c>
      <c r="BN11">
        <v>1022</v>
      </c>
      <c r="BO11">
        <v>1301</v>
      </c>
      <c r="BQ11">
        <v>122.7</v>
      </c>
      <c r="BS11">
        <v>11080</v>
      </c>
      <c r="BT11">
        <v>40870</v>
      </c>
      <c r="BU11">
        <v>18710</v>
      </c>
      <c r="BV11">
        <v>9010</v>
      </c>
      <c r="BW11">
        <v>9700</v>
      </c>
      <c r="BY11">
        <v>15.7</v>
      </c>
      <c r="BZ11">
        <v>57.8</v>
      </c>
      <c r="CA11">
        <v>26.5</v>
      </c>
      <c r="CB11">
        <v>12.8</v>
      </c>
      <c r="CC11">
        <v>13.7</v>
      </c>
    </row>
    <row r="16" spans="1:81" x14ac:dyDescent="0.45">
      <c r="B16" s="25" t="s">
        <v>121</v>
      </c>
      <c r="C16" s="26"/>
      <c r="D16" s="26"/>
      <c r="E16" s="26"/>
      <c r="F16" s="26"/>
      <c r="G16" s="26"/>
      <c r="H16" s="26"/>
      <c r="I16" s="26"/>
      <c r="J16" s="27"/>
    </row>
    <row r="17" spans="2:10" x14ac:dyDescent="0.45">
      <c r="B17" s="28" t="s">
        <v>122</v>
      </c>
      <c r="C17" s="29"/>
      <c r="D17" s="29"/>
      <c r="E17" s="29"/>
      <c r="F17" s="29"/>
      <c r="G17" s="29"/>
      <c r="H17" s="29"/>
      <c r="I17" s="29"/>
      <c r="J17" s="30"/>
    </row>
    <row r="18" spans="2:10" x14ac:dyDescent="0.45">
      <c r="B18" s="86" t="s">
        <v>123</v>
      </c>
      <c r="C18" s="31"/>
      <c r="D18" s="31"/>
      <c r="E18" s="31"/>
      <c r="F18" s="31"/>
      <c r="G18" s="31"/>
      <c r="H18" s="31"/>
      <c r="I18" s="31"/>
      <c r="J18" s="32"/>
    </row>
  </sheetData>
  <phoneticPr fontId="1"/>
  <hyperlinks>
    <hyperlink ref="B18" r:id="rId1"/>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99"/>
  <sheetViews>
    <sheetView workbookViewId="0">
      <selection activeCell="F6" sqref="F6"/>
    </sheetView>
  </sheetViews>
  <sheetFormatPr defaultRowHeight="18.75" x14ac:dyDescent="0.45"/>
  <cols>
    <col min="2" max="11" width="10.77734375" customWidth="1"/>
  </cols>
  <sheetData>
    <row r="1" spans="1:19" x14ac:dyDescent="0.45">
      <c r="A1" s="17" t="s">
        <v>124</v>
      </c>
      <c r="B1" s="18"/>
      <c r="C1" s="18"/>
      <c r="D1" s="18"/>
      <c r="E1" s="18"/>
      <c r="F1" s="18"/>
      <c r="G1" s="18"/>
      <c r="H1" s="18"/>
      <c r="I1" s="18"/>
      <c r="J1" s="18"/>
      <c r="K1" s="19"/>
    </row>
    <row r="2" spans="1:19" x14ac:dyDescent="0.45">
      <c r="A2" s="20"/>
      <c r="B2" t="s">
        <v>86</v>
      </c>
      <c r="G2" t="s">
        <v>87</v>
      </c>
      <c r="K2" s="21"/>
    </row>
    <row r="3" spans="1:19" ht="18.75" customHeight="1" x14ac:dyDescent="0.45">
      <c r="A3" s="20" t="s">
        <v>125</v>
      </c>
      <c r="B3" s="33" t="s">
        <v>126</v>
      </c>
      <c r="C3" s="33" t="s">
        <v>127</v>
      </c>
      <c r="D3" s="33" t="s">
        <v>128</v>
      </c>
      <c r="E3" s="33" t="s">
        <v>129</v>
      </c>
      <c r="F3" s="33" t="s">
        <v>130</v>
      </c>
      <c r="G3" s="33" t="s">
        <v>126</v>
      </c>
      <c r="H3" s="33" t="s">
        <v>127</v>
      </c>
      <c r="I3" s="33" t="s">
        <v>128</v>
      </c>
      <c r="J3" s="33" t="s">
        <v>129</v>
      </c>
      <c r="K3" s="34" t="s">
        <v>130</v>
      </c>
    </row>
    <row r="4" spans="1:19" x14ac:dyDescent="0.45">
      <c r="A4" s="20" t="s">
        <v>37</v>
      </c>
      <c r="K4" s="21"/>
    </row>
    <row r="5" spans="1:19" x14ac:dyDescent="0.45">
      <c r="A5" s="20" t="s">
        <v>131</v>
      </c>
      <c r="B5">
        <v>2.1760000000000002E-2</v>
      </c>
      <c r="C5">
        <v>6.9999999999999994E-5</v>
      </c>
      <c r="D5">
        <v>1.7000000000000001E-4</v>
      </c>
      <c r="E5">
        <v>5.0000000000000002E-5</v>
      </c>
      <c r="F5">
        <v>1.9000000000000001E-4</v>
      </c>
      <c r="G5">
        <v>1.285E-2</v>
      </c>
      <c r="H5">
        <v>1.0000000000000001E-5</v>
      </c>
      <c r="I5">
        <v>1.0000000000000001E-5</v>
      </c>
      <c r="J5">
        <v>1.1E-4</v>
      </c>
      <c r="K5" s="21">
        <v>1.2999999999999999E-4</v>
      </c>
    </row>
    <row r="6" spans="1:19" x14ac:dyDescent="0.45">
      <c r="A6" s="20" t="s">
        <v>132</v>
      </c>
      <c r="B6">
        <v>0.31602999999999998</v>
      </c>
      <c r="C6">
        <v>1.2489999999999999E-2</v>
      </c>
      <c r="D6">
        <v>1.9879999999999998E-2</v>
      </c>
      <c r="E6">
        <v>1.66E-3</v>
      </c>
      <c r="F6">
        <v>1.061E-2</v>
      </c>
      <c r="G6">
        <v>0.19835</v>
      </c>
      <c r="H6">
        <v>8.7000000000000001E-4</v>
      </c>
      <c r="I6">
        <v>5.2999999999999998E-4</v>
      </c>
      <c r="J6">
        <v>6.1599999999999997E-3</v>
      </c>
      <c r="K6" s="21">
        <v>7.6899999999999998E-3</v>
      </c>
      <c r="M6" s="25" t="s">
        <v>133</v>
      </c>
      <c r="N6" s="26"/>
      <c r="O6" s="26"/>
      <c r="P6" s="26"/>
      <c r="Q6" s="26"/>
      <c r="R6" s="26"/>
      <c r="S6" s="27"/>
    </row>
    <row r="7" spans="1:19" x14ac:dyDescent="0.45">
      <c r="A7" s="20" t="s">
        <v>134</v>
      </c>
      <c r="B7">
        <v>0.33829999999999999</v>
      </c>
      <c r="C7">
        <v>9.5430000000000001E-2</v>
      </c>
      <c r="D7">
        <v>0.11823</v>
      </c>
      <c r="E7">
        <v>4.81E-3</v>
      </c>
      <c r="F7">
        <v>2.1360000000000001E-2</v>
      </c>
      <c r="G7">
        <v>0.17332</v>
      </c>
      <c r="H7">
        <v>4.8599999999999997E-3</v>
      </c>
      <c r="I7">
        <v>2.8400000000000001E-3</v>
      </c>
      <c r="J7">
        <v>1.804E-2</v>
      </c>
      <c r="K7" s="21">
        <v>8.9300000000000004E-3</v>
      </c>
      <c r="M7" s="28" t="s">
        <v>135</v>
      </c>
      <c r="N7" s="29"/>
      <c r="O7" s="29"/>
      <c r="P7" s="29"/>
      <c r="Q7" s="29"/>
      <c r="R7" s="29"/>
      <c r="S7" s="30"/>
    </row>
    <row r="8" spans="1:19" x14ac:dyDescent="0.45">
      <c r="A8" s="20" t="s">
        <v>136</v>
      </c>
      <c r="B8">
        <v>0.23862</v>
      </c>
      <c r="C8">
        <v>0.11618000000000001</v>
      </c>
      <c r="D8">
        <v>0.31505</v>
      </c>
      <c r="E8">
        <v>7.7000000000000002E-3</v>
      </c>
      <c r="F8">
        <v>2.504E-2</v>
      </c>
      <c r="G8">
        <v>0.10711</v>
      </c>
      <c r="H8">
        <v>4.2100000000000002E-3</v>
      </c>
      <c r="I8">
        <v>5.62E-3</v>
      </c>
      <c r="J8">
        <v>3.3590000000000002E-2</v>
      </c>
      <c r="K8" s="21">
        <v>6.8199999999999997E-3</v>
      </c>
      <c r="M8" s="28" t="s">
        <v>137</v>
      </c>
      <c r="N8" s="29"/>
      <c r="O8" s="29"/>
      <c r="P8" s="29"/>
      <c r="Q8" s="29"/>
      <c r="R8" s="29"/>
      <c r="S8" s="30"/>
    </row>
    <row r="9" spans="1:19" x14ac:dyDescent="0.45">
      <c r="A9" s="20" t="s">
        <v>138</v>
      </c>
      <c r="B9">
        <v>0.18812999999999999</v>
      </c>
      <c r="C9">
        <v>9.0450000000000003E-2</v>
      </c>
      <c r="D9">
        <v>0.43125999999999998</v>
      </c>
      <c r="E9">
        <v>1.2919999999999999E-2</v>
      </c>
      <c r="F9">
        <v>3.3860000000000001E-2</v>
      </c>
      <c r="G9">
        <v>7.9020000000000007E-2</v>
      </c>
      <c r="H9">
        <v>2.6099999999999999E-3</v>
      </c>
      <c r="I9">
        <v>5.0400000000000002E-3</v>
      </c>
      <c r="J9">
        <v>4.9439999999999998E-2</v>
      </c>
      <c r="K9" s="21">
        <v>6.77E-3</v>
      </c>
      <c r="M9" s="28" t="s">
        <v>139</v>
      </c>
      <c r="N9" s="29"/>
      <c r="O9" s="29"/>
      <c r="P9" s="29"/>
      <c r="Q9" s="29"/>
      <c r="R9" s="29"/>
      <c r="S9" s="30"/>
    </row>
    <row r="10" spans="1:19" x14ac:dyDescent="0.45">
      <c r="A10" s="20" t="s">
        <v>140</v>
      </c>
      <c r="B10">
        <v>0.17856</v>
      </c>
      <c r="C10">
        <v>7.8770000000000007E-2</v>
      </c>
      <c r="D10">
        <v>0.45543</v>
      </c>
      <c r="E10">
        <v>2.2409999999999999E-2</v>
      </c>
      <c r="F10">
        <v>4.9140000000000003E-2</v>
      </c>
      <c r="G10">
        <v>7.0690000000000003E-2</v>
      </c>
      <c r="H10">
        <v>1.97E-3</v>
      </c>
      <c r="I10">
        <v>4.5999999999999999E-3</v>
      </c>
      <c r="J10">
        <v>7.4279999999999999E-2</v>
      </c>
      <c r="K10" s="21">
        <v>9.0500000000000008E-3</v>
      </c>
      <c r="M10" s="128" t="s">
        <v>141</v>
      </c>
      <c r="N10" s="129"/>
      <c r="O10" s="129"/>
      <c r="P10" s="129"/>
      <c r="Q10" s="129"/>
      <c r="R10" s="129"/>
      <c r="S10" s="130"/>
    </row>
    <row r="11" spans="1:19" x14ac:dyDescent="0.45">
      <c r="A11" s="20" t="s">
        <v>142</v>
      </c>
      <c r="B11">
        <v>0.18212999999999999</v>
      </c>
      <c r="C11">
        <v>8.3549999999999999E-2</v>
      </c>
      <c r="D11">
        <v>0.44690999999999997</v>
      </c>
      <c r="E11">
        <v>3.3989999999999999E-2</v>
      </c>
      <c r="F11">
        <v>7.1819999999999995E-2</v>
      </c>
      <c r="G11">
        <v>7.4709999999999999E-2</v>
      </c>
      <c r="H11">
        <v>2.1199999999999999E-3</v>
      </c>
      <c r="I11">
        <v>3.7399999999999998E-3</v>
      </c>
      <c r="J11">
        <v>9.5180000000000001E-2</v>
      </c>
      <c r="K11" s="21">
        <v>1.285E-2</v>
      </c>
      <c r="M11" s="131"/>
      <c r="N11" s="132"/>
      <c r="O11" s="132"/>
      <c r="P11" s="132"/>
      <c r="Q11" s="132"/>
      <c r="R11" s="132"/>
      <c r="S11" s="133"/>
    </row>
    <row r="12" spans="1:19" x14ac:dyDescent="0.45">
      <c r="A12" s="20" t="s">
        <v>143</v>
      </c>
      <c r="B12">
        <v>0.18128</v>
      </c>
      <c r="C12">
        <v>0.10681</v>
      </c>
      <c r="D12">
        <v>0.41748000000000002</v>
      </c>
      <c r="E12">
        <v>4.428E-2</v>
      </c>
      <c r="F12">
        <v>0.10864</v>
      </c>
      <c r="G12">
        <v>8.5720000000000005E-2</v>
      </c>
      <c r="H12">
        <v>2.1800000000000001E-3</v>
      </c>
      <c r="I12">
        <v>2.9199999999999999E-3</v>
      </c>
      <c r="J12">
        <v>9.3289999999999998E-2</v>
      </c>
      <c r="K12" s="21">
        <v>1.6449999999999999E-2</v>
      </c>
    </row>
    <row r="13" spans="1:19" x14ac:dyDescent="0.45">
      <c r="A13" s="20" t="s">
        <v>144</v>
      </c>
      <c r="B13">
        <v>0.18254000000000001</v>
      </c>
      <c r="C13">
        <v>0.16669999999999999</v>
      </c>
      <c r="D13">
        <v>0.35746</v>
      </c>
      <c r="E13">
        <v>4.5260000000000002E-2</v>
      </c>
      <c r="F13">
        <v>0.14535000000000001</v>
      </c>
      <c r="G13">
        <v>9.4289999999999999E-2</v>
      </c>
      <c r="H13">
        <v>2.5000000000000001E-3</v>
      </c>
      <c r="I13">
        <v>1.9599999999999999E-3</v>
      </c>
      <c r="J13">
        <v>7.3910000000000003E-2</v>
      </c>
      <c r="K13" s="21">
        <v>1.7010000000000001E-2</v>
      </c>
    </row>
    <row r="14" spans="1:19" x14ac:dyDescent="0.45">
      <c r="A14" s="20" t="s">
        <v>145</v>
      </c>
      <c r="B14">
        <v>0.17777999999999999</v>
      </c>
      <c r="C14">
        <v>0.26695000000000002</v>
      </c>
      <c r="D14">
        <v>0.29732999999999998</v>
      </c>
      <c r="E14">
        <v>3.517E-2</v>
      </c>
      <c r="F14">
        <v>0.15040000000000001</v>
      </c>
      <c r="G14">
        <v>0.11151</v>
      </c>
      <c r="H14">
        <v>2.4099999999999998E-3</v>
      </c>
      <c r="I14">
        <v>1.09E-3</v>
      </c>
      <c r="J14">
        <v>5.7979999999999997E-2</v>
      </c>
      <c r="K14" s="21">
        <v>1.5900000000000001E-2</v>
      </c>
    </row>
    <row r="15" spans="1:19" x14ac:dyDescent="0.45">
      <c r="A15" s="20" t="s">
        <v>146</v>
      </c>
      <c r="B15">
        <v>0.15332000000000001</v>
      </c>
      <c r="C15">
        <v>0.38406000000000001</v>
      </c>
      <c r="D15">
        <v>0.25092999999999999</v>
      </c>
      <c r="E15">
        <v>2.7109999999999999E-2</v>
      </c>
      <c r="F15">
        <v>0.12937000000000001</v>
      </c>
      <c r="G15">
        <v>0.13950000000000001</v>
      </c>
      <c r="H15">
        <v>2.2100000000000002E-3</v>
      </c>
      <c r="I15">
        <v>6.7000000000000002E-4</v>
      </c>
      <c r="J15">
        <v>5.5399999999999998E-2</v>
      </c>
      <c r="K15" s="21">
        <v>1.6709999999999999E-2</v>
      </c>
    </row>
    <row r="16" spans="1:19" x14ac:dyDescent="0.45">
      <c r="A16" s="20" t="s">
        <v>147</v>
      </c>
      <c r="B16">
        <v>0.12179</v>
      </c>
      <c r="C16">
        <v>0.46288000000000001</v>
      </c>
      <c r="D16">
        <v>0.22277</v>
      </c>
      <c r="E16">
        <v>2.358E-2</v>
      </c>
      <c r="F16">
        <v>0.10764</v>
      </c>
      <c r="G16">
        <v>0.17915</v>
      </c>
      <c r="H16">
        <v>1.9300000000000001E-3</v>
      </c>
      <c r="I16">
        <v>4.8000000000000001E-4</v>
      </c>
      <c r="J16">
        <v>5.7209999999999997E-2</v>
      </c>
      <c r="K16" s="21">
        <v>1.8859999999999998E-2</v>
      </c>
    </row>
    <row r="17" spans="1:11" x14ac:dyDescent="0.45">
      <c r="A17" s="20" t="s">
        <v>148</v>
      </c>
      <c r="B17">
        <v>0.10988000000000001</v>
      </c>
      <c r="C17">
        <v>0.47466000000000003</v>
      </c>
      <c r="D17">
        <v>0.18941</v>
      </c>
      <c r="E17">
        <v>2.6519999999999998E-2</v>
      </c>
      <c r="F17">
        <v>0.11262</v>
      </c>
      <c r="G17">
        <v>0.23821999999999999</v>
      </c>
      <c r="H17">
        <v>1.57E-3</v>
      </c>
      <c r="I17">
        <v>2.4000000000000001E-4</v>
      </c>
      <c r="J17">
        <v>5.9830000000000001E-2</v>
      </c>
      <c r="K17" s="21">
        <v>2.128E-2</v>
      </c>
    </row>
    <row r="18" spans="1:11" x14ac:dyDescent="0.45">
      <c r="A18" s="20" t="s">
        <v>149</v>
      </c>
      <c r="B18">
        <v>0.11713999999999999</v>
      </c>
      <c r="C18">
        <v>0.44052999999999998</v>
      </c>
      <c r="D18">
        <v>0.14135</v>
      </c>
      <c r="E18">
        <v>3.1060000000000001E-2</v>
      </c>
      <c r="F18">
        <v>0.13128000000000001</v>
      </c>
      <c r="G18">
        <v>0.27692</v>
      </c>
      <c r="H18">
        <v>9.3000000000000005E-4</v>
      </c>
      <c r="I18">
        <v>2.1000000000000001E-4</v>
      </c>
      <c r="J18">
        <v>5.5730000000000002E-2</v>
      </c>
      <c r="K18" s="21">
        <v>2.333E-2</v>
      </c>
    </row>
    <row r="19" spans="1:11" x14ac:dyDescent="0.45">
      <c r="A19" s="20" t="s">
        <v>150</v>
      </c>
      <c r="B19">
        <v>0.13272999999999999</v>
      </c>
      <c r="C19">
        <v>0.31469000000000003</v>
      </c>
      <c r="D19">
        <v>8.4260000000000002E-2</v>
      </c>
      <c r="E19">
        <v>4.147E-2</v>
      </c>
      <c r="F19">
        <v>0.16200999999999999</v>
      </c>
      <c r="G19">
        <v>0.21274000000000001</v>
      </c>
      <c r="H19">
        <v>2.5000000000000001E-4</v>
      </c>
      <c r="I19">
        <v>9.0000000000000006E-5</v>
      </c>
      <c r="J19">
        <v>4.2630000000000001E-2</v>
      </c>
      <c r="K19" s="21">
        <v>2.1770000000000001E-2</v>
      </c>
    </row>
    <row r="20" spans="1:11" x14ac:dyDescent="0.45">
      <c r="A20" s="20" t="s">
        <v>38</v>
      </c>
      <c r="K20" s="21"/>
    </row>
    <row r="21" spans="1:11" x14ac:dyDescent="0.45">
      <c r="A21" s="20" t="s">
        <v>131</v>
      </c>
      <c r="B21">
        <v>2.1299999999999999E-2</v>
      </c>
      <c r="C21">
        <v>6.9999999999999994E-5</v>
      </c>
      <c r="D21">
        <v>1.7000000000000001E-4</v>
      </c>
      <c r="E21">
        <v>6.0000000000000002E-5</v>
      </c>
      <c r="F21">
        <v>1.8000000000000001E-4</v>
      </c>
      <c r="G21">
        <v>1.2829999999999999E-2</v>
      </c>
      <c r="H21">
        <v>1.0000000000000001E-5</v>
      </c>
      <c r="I21">
        <v>1.0000000000000001E-5</v>
      </c>
      <c r="J21">
        <v>1.2999999999999999E-4</v>
      </c>
      <c r="K21" s="21">
        <v>1.2999999999999999E-4</v>
      </c>
    </row>
    <row r="22" spans="1:11" x14ac:dyDescent="0.45">
      <c r="A22" s="20" t="s">
        <v>132</v>
      </c>
      <c r="B22">
        <v>0.31558999999999998</v>
      </c>
      <c r="C22">
        <v>1.1769999999999999E-2</v>
      </c>
      <c r="D22">
        <v>1.8960000000000001E-2</v>
      </c>
      <c r="E22">
        <v>1.73E-3</v>
      </c>
      <c r="F22">
        <v>9.2300000000000004E-3</v>
      </c>
      <c r="G22">
        <v>0.19822000000000001</v>
      </c>
      <c r="H22">
        <v>8.1999999999999998E-4</v>
      </c>
      <c r="I22">
        <v>5.1000000000000004E-4</v>
      </c>
      <c r="J22">
        <v>6.6699999999999997E-3</v>
      </c>
      <c r="K22" s="21">
        <v>6.9300000000000004E-3</v>
      </c>
    </row>
    <row r="23" spans="1:11" x14ac:dyDescent="0.45">
      <c r="A23" s="20" t="s">
        <v>134</v>
      </c>
      <c r="B23">
        <v>0.34300999999999998</v>
      </c>
      <c r="C23">
        <v>9.2910000000000006E-2</v>
      </c>
      <c r="D23">
        <v>0.11234</v>
      </c>
      <c r="E23">
        <v>4.8999999999999998E-3</v>
      </c>
      <c r="F23">
        <v>1.8499999999999999E-2</v>
      </c>
      <c r="G23">
        <v>0.17784</v>
      </c>
      <c r="H23">
        <v>4.79E-3</v>
      </c>
      <c r="I23">
        <v>2.7599999999999999E-3</v>
      </c>
      <c r="J23">
        <v>2.4299999999999999E-2</v>
      </c>
      <c r="K23" s="21">
        <v>7.5700000000000003E-3</v>
      </c>
    </row>
    <row r="24" spans="1:11" x14ac:dyDescent="0.45">
      <c r="A24" s="20" t="s">
        <v>136</v>
      </c>
      <c r="B24">
        <v>0.25180000000000002</v>
      </c>
      <c r="C24">
        <v>0.11951000000000001</v>
      </c>
      <c r="D24">
        <v>0.31297999999999998</v>
      </c>
      <c r="E24">
        <v>7.2199999999999999E-3</v>
      </c>
      <c r="F24">
        <v>2.1829999999999999E-2</v>
      </c>
      <c r="G24">
        <v>0.11198</v>
      </c>
      <c r="H24">
        <v>4.4000000000000003E-3</v>
      </c>
      <c r="I24">
        <v>5.6800000000000002E-3</v>
      </c>
      <c r="J24">
        <v>4.4119999999999999E-2</v>
      </c>
      <c r="K24" s="21">
        <v>5.8100000000000001E-3</v>
      </c>
    </row>
    <row r="25" spans="1:11" x14ac:dyDescent="0.45">
      <c r="A25" s="20" t="s">
        <v>138</v>
      </c>
      <c r="B25">
        <v>0.19817000000000001</v>
      </c>
      <c r="C25">
        <v>8.7410000000000002E-2</v>
      </c>
      <c r="D25">
        <v>0.43684000000000001</v>
      </c>
      <c r="E25">
        <v>1.1979999999999999E-2</v>
      </c>
      <c r="F25">
        <v>3.0190000000000002E-2</v>
      </c>
      <c r="G25">
        <v>8.5419999999999996E-2</v>
      </c>
      <c r="H25">
        <v>2.5200000000000001E-3</v>
      </c>
      <c r="I25">
        <v>5.0899999999999999E-3</v>
      </c>
      <c r="J25">
        <v>5.8619999999999998E-2</v>
      </c>
      <c r="K25" s="21">
        <v>7.0299999999999998E-3</v>
      </c>
    </row>
    <row r="26" spans="1:11" x14ac:dyDescent="0.45">
      <c r="A26" s="20" t="s">
        <v>140</v>
      </c>
      <c r="B26">
        <v>0.17788000000000001</v>
      </c>
      <c r="C26">
        <v>8.0170000000000005E-2</v>
      </c>
      <c r="D26">
        <v>0.47256999999999999</v>
      </c>
      <c r="E26">
        <v>2.5940000000000001E-2</v>
      </c>
      <c r="F26">
        <v>4.573E-2</v>
      </c>
      <c r="G26">
        <v>7.8210000000000002E-2</v>
      </c>
      <c r="H26">
        <v>1.98E-3</v>
      </c>
      <c r="I26">
        <v>4.8999999999999998E-3</v>
      </c>
      <c r="J26">
        <v>7.9119999999999996E-2</v>
      </c>
      <c r="K26" s="21">
        <v>8.8599999999999998E-3</v>
      </c>
    </row>
    <row r="27" spans="1:11" x14ac:dyDescent="0.45">
      <c r="A27" s="20" t="s">
        <v>142</v>
      </c>
      <c r="B27">
        <v>0.1797</v>
      </c>
      <c r="C27">
        <v>9.0950000000000003E-2</v>
      </c>
      <c r="D27">
        <v>0.45910000000000001</v>
      </c>
      <c r="E27">
        <v>3.2190000000000003E-2</v>
      </c>
      <c r="F27">
        <v>6.0249999999999998E-2</v>
      </c>
      <c r="G27">
        <v>8.5199999999999998E-2</v>
      </c>
      <c r="H27">
        <v>2.2799999999999999E-3</v>
      </c>
      <c r="I27">
        <v>3.8800000000000002E-3</v>
      </c>
      <c r="J27">
        <v>9.1550000000000006E-2</v>
      </c>
      <c r="K27" s="21">
        <v>1.404E-2</v>
      </c>
    </row>
    <row r="28" spans="1:11" x14ac:dyDescent="0.45">
      <c r="A28" s="20" t="s">
        <v>143</v>
      </c>
      <c r="B28">
        <v>0.19350000000000001</v>
      </c>
      <c r="C28">
        <v>0.11582000000000001</v>
      </c>
      <c r="D28">
        <v>0.4123</v>
      </c>
      <c r="E28">
        <v>4.3560000000000001E-2</v>
      </c>
      <c r="F28">
        <v>8.4360000000000004E-2</v>
      </c>
      <c r="G28">
        <v>9.7129999999999994E-2</v>
      </c>
      <c r="H28">
        <v>2.32E-3</v>
      </c>
      <c r="I28">
        <v>2.97E-3</v>
      </c>
      <c r="J28">
        <v>9.042E-2</v>
      </c>
      <c r="K28" s="21">
        <v>1.4590000000000001E-2</v>
      </c>
    </row>
    <row r="29" spans="1:11" x14ac:dyDescent="0.45">
      <c r="A29" s="20" t="s">
        <v>144</v>
      </c>
      <c r="B29">
        <v>0.20607</v>
      </c>
      <c r="C29">
        <v>0.17666999999999999</v>
      </c>
      <c r="D29">
        <v>0.35024</v>
      </c>
      <c r="E29">
        <v>5.1520000000000003E-2</v>
      </c>
      <c r="F29">
        <v>0.11806999999999999</v>
      </c>
      <c r="G29">
        <v>0.10985</v>
      </c>
      <c r="H29">
        <v>2.5699999999999998E-3</v>
      </c>
      <c r="I29">
        <v>2.0899999999999998E-3</v>
      </c>
      <c r="J29">
        <v>7.3289999999999994E-2</v>
      </c>
      <c r="K29" s="21">
        <v>1.6650000000000002E-2</v>
      </c>
    </row>
    <row r="30" spans="1:11" x14ac:dyDescent="0.45">
      <c r="A30" s="20" t="s">
        <v>145</v>
      </c>
      <c r="B30">
        <v>0.19749</v>
      </c>
      <c r="C30">
        <v>0.26405000000000001</v>
      </c>
      <c r="D30">
        <v>0.28634999999999999</v>
      </c>
      <c r="E30">
        <v>4.4729999999999999E-2</v>
      </c>
      <c r="F30">
        <v>0.1353</v>
      </c>
      <c r="G30">
        <v>0.12157999999999999</v>
      </c>
      <c r="H30">
        <v>2.3800000000000002E-3</v>
      </c>
      <c r="I30">
        <v>1.1800000000000001E-3</v>
      </c>
      <c r="J30">
        <v>6.1129999999999997E-2</v>
      </c>
      <c r="K30" s="21">
        <v>1.553E-2</v>
      </c>
    </row>
    <row r="31" spans="1:11" x14ac:dyDescent="0.45">
      <c r="A31" s="20" t="s">
        <v>146</v>
      </c>
      <c r="B31">
        <v>0.17607999999999999</v>
      </c>
      <c r="C31">
        <v>0.37028</v>
      </c>
      <c r="D31">
        <v>0.23896000000000001</v>
      </c>
      <c r="E31">
        <v>3.1040000000000002E-2</v>
      </c>
      <c r="F31">
        <v>0.12087000000000001</v>
      </c>
      <c r="G31">
        <v>0.14105999999999999</v>
      </c>
      <c r="H31">
        <v>2.15E-3</v>
      </c>
      <c r="I31">
        <v>6.8999999999999997E-4</v>
      </c>
      <c r="J31">
        <v>5.6590000000000001E-2</v>
      </c>
      <c r="K31" s="21">
        <v>1.5730000000000001E-2</v>
      </c>
    </row>
    <row r="32" spans="1:11" x14ac:dyDescent="0.45">
      <c r="A32" s="20" t="s">
        <v>147</v>
      </c>
      <c r="B32">
        <v>0.14434</v>
      </c>
      <c r="C32">
        <v>0.44545000000000001</v>
      </c>
      <c r="D32">
        <v>0.21264</v>
      </c>
      <c r="E32">
        <v>2.1870000000000001E-2</v>
      </c>
      <c r="F32">
        <v>0.10373</v>
      </c>
      <c r="G32">
        <v>0.17823</v>
      </c>
      <c r="H32">
        <v>1.9300000000000001E-3</v>
      </c>
      <c r="I32">
        <v>4.6999999999999999E-4</v>
      </c>
      <c r="J32">
        <v>5.5160000000000001E-2</v>
      </c>
      <c r="K32" s="21">
        <v>1.7809999999999999E-2</v>
      </c>
    </row>
    <row r="33" spans="1:11" x14ac:dyDescent="0.45">
      <c r="A33" s="20" t="s">
        <v>148</v>
      </c>
      <c r="B33">
        <v>0.12309</v>
      </c>
      <c r="C33">
        <v>0.48043999999999998</v>
      </c>
      <c r="D33">
        <v>0.19367999999999999</v>
      </c>
      <c r="E33">
        <v>2.5690000000000001E-2</v>
      </c>
      <c r="F33">
        <v>9.9949999999999997E-2</v>
      </c>
      <c r="G33">
        <v>0.23594999999999999</v>
      </c>
      <c r="H33">
        <v>1.6100000000000001E-3</v>
      </c>
      <c r="I33">
        <v>2.5000000000000001E-4</v>
      </c>
      <c r="J33">
        <v>6.2190000000000002E-2</v>
      </c>
      <c r="K33" s="21">
        <v>2.0449999999999999E-2</v>
      </c>
    </row>
    <row r="34" spans="1:11" x14ac:dyDescent="0.45">
      <c r="A34" s="20" t="s">
        <v>149</v>
      </c>
      <c r="B34">
        <v>0.12299</v>
      </c>
      <c r="C34">
        <v>0.45745999999999998</v>
      </c>
      <c r="D34">
        <v>0.16066</v>
      </c>
      <c r="E34">
        <v>3.1690000000000003E-2</v>
      </c>
      <c r="F34">
        <v>0.11119</v>
      </c>
      <c r="G34">
        <v>0.27750999999999998</v>
      </c>
      <c r="H34">
        <v>1.01E-3</v>
      </c>
      <c r="I34">
        <v>2.5000000000000001E-4</v>
      </c>
      <c r="J34">
        <v>6.0789999999999997E-2</v>
      </c>
      <c r="K34" s="21">
        <v>2.1770000000000001E-2</v>
      </c>
    </row>
    <row r="35" spans="1:11" x14ac:dyDescent="0.45">
      <c r="A35" s="20" t="s">
        <v>150</v>
      </c>
      <c r="B35">
        <v>0.13556000000000001</v>
      </c>
      <c r="C35">
        <v>0.34055000000000002</v>
      </c>
      <c r="D35">
        <v>9.7059999999999994E-2</v>
      </c>
      <c r="E35">
        <v>4.1110000000000001E-2</v>
      </c>
      <c r="F35">
        <v>0.13241</v>
      </c>
      <c r="G35">
        <v>0.22717000000000001</v>
      </c>
      <c r="H35">
        <v>2.9999999999999997E-4</v>
      </c>
      <c r="I35">
        <v>1.1E-4</v>
      </c>
      <c r="J35">
        <v>4.623E-2</v>
      </c>
      <c r="K35" s="21">
        <v>2.0150000000000001E-2</v>
      </c>
    </row>
    <row r="36" spans="1:11" x14ac:dyDescent="0.45">
      <c r="A36" s="20" t="s">
        <v>39</v>
      </c>
      <c r="K36" s="21"/>
    </row>
    <row r="37" spans="1:11" x14ac:dyDescent="0.45">
      <c r="A37" s="20" t="s">
        <v>131</v>
      </c>
      <c r="B37">
        <v>2.138E-2</v>
      </c>
      <c r="C37">
        <v>6.9999999999999994E-5</v>
      </c>
      <c r="D37">
        <v>1.7000000000000001E-4</v>
      </c>
      <c r="E37">
        <v>5.0000000000000002E-5</v>
      </c>
      <c r="F37">
        <v>1.7000000000000001E-4</v>
      </c>
      <c r="G37">
        <v>1.303E-2</v>
      </c>
      <c r="H37">
        <v>1.0000000000000001E-5</v>
      </c>
      <c r="I37">
        <v>1.0000000000000001E-5</v>
      </c>
      <c r="J37">
        <v>1.2E-4</v>
      </c>
      <c r="K37" s="21">
        <v>1.2E-4</v>
      </c>
    </row>
    <row r="38" spans="1:11" x14ac:dyDescent="0.45">
      <c r="A38" s="20" t="s">
        <v>132</v>
      </c>
      <c r="B38">
        <v>0.31459999999999999</v>
      </c>
      <c r="C38">
        <v>1.1979999999999999E-2</v>
      </c>
      <c r="D38">
        <v>1.9390000000000001E-2</v>
      </c>
      <c r="E38">
        <v>1.9400000000000001E-3</v>
      </c>
      <c r="F38">
        <v>9.5999999999999992E-3</v>
      </c>
      <c r="G38">
        <v>0.19969000000000001</v>
      </c>
      <c r="H38">
        <v>8.4000000000000003E-4</v>
      </c>
      <c r="I38">
        <v>5.2999999999999998E-4</v>
      </c>
      <c r="J38">
        <v>7.1399999999999996E-3</v>
      </c>
      <c r="K38" s="21">
        <v>7.0800000000000004E-3</v>
      </c>
    </row>
    <row r="39" spans="1:11" x14ac:dyDescent="0.45">
      <c r="A39" s="20" t="s">
        <v>134</v>
      </c>
      <c r="B39">
        <v>0.33805000000000002</v>
      </c>
      <c r="C39">
        <v>9.4769999999999993E-2</v>
      </c>
      <c r="D39">
        <v>0.11409999999999999</v>
      </c>
      <c r="E39">
        <v>4.9300000000000004E-3</v>
      </c>
      <c r="F39">
        <v>1.711E-2</v>
      </c>
      <c r="G39">
        <v>0.17960999999999999</v>
      </c>
      <c r="H39">
        <v>4.9100000000000003E-3</v>
      </c>
      <c r="I39">
        <v>2.81E-3</v>
      </c>
      <c r="J39">
        <v>2.6839999999999999E-2</v>
      </c>
      <c r="K39" s="21">
        <v>7.0000000000000001E-3</v>
      </c>
    </row>
    <row r="40" spans="1:11" x14ac:dyDescent="0.45">
      <c r="A40" s="20" t="s">
        <v>136</v>
      </c>
      <c r="B40">
        <v>0.25579000000000002</v>
      </c>
      <c r="C40">
        <v>0.11935</v>
      </c>
      <c r="D40">
        <v>0.30514000000000002</v>
      </c>
      <c r="E40">
        <v>7.2300000000000003E-3</v>
      </c>
      <c r="F40">
        <v>2.0379999999999999E-2</v>
      </c>
      <c r="G40">
        <v>0.11423999999999999</v>
      </c>
      <c r="H40">
        <v>4.4600000000000004E-3</v>
      </c>
      <c r="I40">
        <v>5.6499999999999996E-3</v>
      </c>
      <c r="J40">
        <v>4.8309999999999999E-2</v>
      </c>
      <c r="K40" s="21">
        <v>5.2100000000000002E-3</v>
      </c>
    </row>
    <row r="41" spans="1:11" x14ac:dyDescent="0.45">
      <c r="A41" s="20" t="s">
        <v>138</v>
      </c>
      <c r="B41">
        <v>0.20338000000000001</v>
      </c>
      <c r="C41">
        <v>9.0490000000000001E-2</v>
      </c>
      <c r="D41">
        <v>0.43869000000000002</v>
      </c>
      <c r="E41">
        <v>1.1299999999999999E-2</v>
      </c>
      <c r="F41">
        <v>2.7609999999999999E-2</v>
      </c>
      <c r="G41">
        <v>8.8330000000000006E-2</v>
      </c>
      <c r="H41">
        <v>2.65E-3</v>
      </c>
      <c r="I41">
        <v>5.1900000000000002E-3</v>
      </c>
      <c r="J41">
        <v>6.5860000000000002E-2</v>
      </c>
      <c r="K41" s="21">
        <v>6.4200000000000004E-3</v>
      </c>
    </row>
    <row r="42" spans="1:11" x14ac:dyDescent="0.45">
      <c r="A42" s="20" t="s">
        <v>140</v>
      </c>
      <c r="B42">
        <v>0.18770999999999999</v>
      </c>
      <c r="C42">
        <v>7.7399999999999997E-2</v>
      </c>
      <c r="D42">
        <v>0.47227000000000002</v>
      </c>
      <c r="E42">
        <v>2.4410000000000001E-2</v>
      </c>
      <c r="F42">
        <v>4.224E-2</v>
      </c>
      <c r="G42">
        <v>8.2629999999999995E-2</v>
      </c>
      <c r="H42">
        <v>1.9E-3</v>
      </c>
      <c r="I42">
        <v>4.8500000000000001E-3</v>
      </c>
      <c r="J42">
        <v>8.6279999999999996E-2</v>
      </c>
      <c r="K42" s="21">
        <v>9.5499999999999995E-3</v>
      </c>
    </row>
    <row r="43" spans="1:11" x14ac:dyDescent="0.45">
      <c r="A43" s="20" t="s">
        <v>142</v>
      </c>
      <c r="B43">
        <v>0.18459999999999999</v>
      </c>
      <c r="C43">
        <v>8.8590000000000002E-2</v>
      </c>
      <c r="D43">
        <v>0.46938000000000002</v>
      </c>
      <c r="E43">
        <v>3.9320000000000001E-2</v>
      </c>
      <c r="F43">
        <v>5.7209999999999997E-2</v>
      </c>
      <c r="G43">
        <v>9.0050000000000005E-2</v>
      </c>
      <c r="H43">
        <v>2.1900000000000001E-3</v>
      </c>
      <c r="I43">
        <v>4.1599999999999996E-3</v>
      </c>
      <c r="J43">
        <v>9.7369999999999998E-2</v>
      </c>
      <c r="K43" s="21">
        <v>1.384E-2</v>
      </c>
    </row>
    <row r="44" spans="1:11" x14ac:dyDescent="0.45">
      <c r="A44" s="20" t="s">
        <v>143</v>
      </c>
      <c r="B44">
        <v>0.19270999999999999</v>
      </c>
      <c r="C44">
        <v>0.12171</v>
      </c>
      <c r="D44">
        <v>0.42175000000000001</v>
      </c>
      <c r="E44">
        <v>4.2279999999999998E-2</v>
      </c>
      <c r="F44">
        <v>7.4639999999999998E-2</v>
      </c>
      <c r="G44">
        <v>0.10736</v>
      </c>
      <c r="H44">
        <v>2.4299999999999999E-3</v>
      </c>
      <c r="I44">
        <v>3.0799999999999998E-3</v>
      </c>
      <c r="J44">
        <v>8.7510000000000004E-2</v>
      </c>
      <c r="K44" s="21">
        <v>1.5520000000000001E-2</v>
      </c>
    </row>
    <row r="45" spans="1:11" x14ac:dyDescent="0.45">
      <c r="A45" s="20" t="s">
        <v>144</v>
      </c>
      <c r="B45">
        <v>0.21951999999999999</v>
      </c>
      <c r="C45">
        <v>0.18479000000000001</v>
      </c>
      <c r="D45">
        <v>0.34416000000000002</v>
      </c>
      <c r="E45">
        <v>5.3289999999999997E-2</v>
      </c>
      <c r="F45">
        <v>9.8019999999999996E-2</v>
      </c>
      <c r="G45">
        <v>0.12216</v>
      </c>
      <c r="H45">
        <v>2.64E-3</v>
      </c>
      <c r="I45">
        <v>2.16E-3</v>
      </c>
      <c r="J45">
        <v>7.1290000000000006E-2</v>
      </c>
      <c r="K45" s="21">
        <v>1.6070000000000001E-2</v>
      </c>
    </row>
    <row r="46" spans="1:11" x14ac:dyDescent="0.45">
      <c r="A46" s="20" t="s">
        <v>145</v>
      </c>
      <c r="B46">
        <v>0.21854999999999999</v>
      </c>
      <c r="C46">
        <v>0.27117000000000002</v>
      </c>
      <c r="D46">
        <v>0.27811999999999998</v>
      </c>
      <c r="E46">
        <v>4.7620000000000003E-2</v>
      </c>
      <c r="F46">
        <v>0.11407</v>
      </c>
      <c r="G46">
        <v>0.13621</v>
      </c>
      <c r="H46">
        <v>2.4099999999999998E-3</v>
      </c>
      <c r="I46">
        <v>1.23E-3</v>
      </c>
      <c r="J46">
        <v>6.0409999999999998E-2</v>
      </c>
      <c r="K46" s="21">
        <v>1.5859999999999999E-2</v>
      </c>
    </row>
    <row r="47" spans="1:11" x14ac:dyDescent="0.45">
      <c r="A47" s="20" t="s">
        <v>146</v>
      </c>
      <c r="B47">
        <v>0.19481000000000001</v>
      </c>
      <c r="C47">
        <v>0.36281000000000002</v>
      </c>
      <c r="D47">
        <v>0.22968</v>
      </c>
      <c r="E47">
        <v>3.6650000000000002E-2</v>
      </c>
      <c r="F47">
        <v>0.11090999999999999</v>
      </c>
      <c r="G47">
        <v>0.14992</v>
      </c>
      <c r="H47">
        <v>2.1099999999999999E-3</v>
      </c>
      <c r="I47">
        <v>7.2999999999999996E-4</v>
      </c>
      <c r="J47">
        <v>5.9089999999999997E-2</v>
      </c>
      <c r="K47" s="21">
        <v>1.5650000000000001E-2</v>
      </c>
    </row>
    <row r="48" spans="1:11" x14ac:dyDescent="0.45">
      <c r="A48" s="20" t="s">
        <v>147</v>
      </c>
      <c r="B48">
        <v>0.1636</v>
      </c>
      <c r="C48">
        <v>0.4304</v>
      </c>
      <c r="D48">
        <v>0.2041</v>
      </c>
      <c r="E48">
        <v>2.2089999999999999E-2</v>
      </c>
      <c r="F48">
        <v>9.783E-2</v>
      </c>
      <c r="G48">
        <v>0.18067</v>
      </c>
      <c r="H48">
        <v>1.89E-3</v>
      </c>
      <c r="I48">
        <v>4.6000000000000001E-4</v>
      </c>
      <c r="J48">
        <v>5.6279999999999997E-2</v>
      </c>
      <c r="K48" s="21">
        <v>1.7090000000000001E-2</v>
      </c>
    </row>
    <row r="49" spans="1:11" x14ac:dyDescent="0.45">
      <c r="A49" s="20" t="s">
        <v>148</v>
      </c>
      <c r="B49">
        <v>0.14119999999999999</v>
      </c>
      <c r="C49">
        <v>0.46550999999999998</v>
      </c>
      <c r="D49">
        <v>0.18708</v>
      </c>
      <c r="E49">
        <v>2.3779999999999999E-2</v>
      </c>
      <c r="F49">
        <v>9.6750000000000003E-2</v>
      </c>
      <c r="G49">
        <v>0.23585</v>
      </c>
      <c r="H49">
        <v>1.6299999999999999E-3</v>
      </c>
      <c r="I49">
        <v>2.5000000000000001E-4</v>
      </c>
      <c r="J49">
        <v>6.1460000000000001E-2</v>
      </c>
      <c r="K49" s="21">
        <v>1.968E-2</v>
      </c>
    </row>
    <row r="50" spans="1:11" x14ac:dyDescent="0.45">
      <c r="A50" s="20" t="s">
        <v>149</v>
      </c>
      <c r="B50">
        <v>0.13228000000000001</v>
      </c>
      <c r="C50">
        <v>0.46382000000000001</v>
      </c>
      <c r="D50">
        <v>0.16539000000000001</v>
      </c>
      <c r="E50">
        <v>3.041E-2</v>
      </c>
      <c r="F50">
        <v>9.937E-2</v>
      </c>
      <c r="G50">
        <v>0.27665000000000001</v>
      </c>
      <c r="H50">
        <v>1.0300000000000001E-3</v>
      </c>
      <c r="I50">
        <v>2.5999999999999998E-4</v>
      </c>
      <c r="J50">
        <v>6.2799999999999995E-2</v>
      </c>
      <c r="K50" s="21">
        <v>2.121E-2</v>
      </c>
    </row>
    <row r="51" spans="1:11" x14ac:dyDescent="0.45">
      <c r="A51" s="20" t="s">
        <v>150</v>
      </c>
      <c r="B51">
        <v>0.14036999999999999</v>
      </c>
      <c r="C51">
        <v>0.35115000000000002</v>
      </c>
      <c r="D51">
        <v>0.10680000000000001</v>
      </c>
      <c r="E51">
        <v>4.1050000000000003E-2</v>
      </c>
      <c r="F51">
        <v>0.11132</v>
      </c>
      <c r="G51">
        <v>0.23061999999999999</v>
      </c>
      <c r="H51">
        <v>3.2000000000000003E-4</v>
      </c>
      <c r="I51">
        <v>1.2E-4</v>
      </c>
      <c r="J51">
        <v>4.8820000000000002E-2</v>
      </c>
      <c r="K51" s="21">
        <v>1.8780000000000002E-2</v>
      </c>
    </row>
    <row r="52" spans="1:11" x14ac:dyDescent="0.45">
      <c r="A52" s="20" t="s">
        <v>40</v>
      </c>
      <c r="K52" s="21"/>
    </row>
    <row r="53" spans="1:11" x14ac:dyDescent="0.45">
      <c r="A53" s="20" t="s">
        <v>131</v>
      </c>
      <c r="B53">
        <v>2.1250000000000002E-2</v>
      </c>
      <c r="C53">
        <v>6.9999999999999994E-5</v>
      </c>
      <c r="D53">
        <v>1.6000000000000001E-4</v>
      </c>
      <c r="E53">
        <v>5.0000000000000002E-5</v>
      </c>
      <c r="F53">
        <v>1.6000000000000001E-4</v>
      </c>
      <c r="G53">
        <v>1.315E-2</v>
      </c>
      <c r="H53">
        <v>1.0000000000000001E-5</v>
      </c>
      <c r="I53">
        <v>1.0000000000000001E-5</v>
      </c>
      <c r="J53">
        <v>1.2E-4</v>
      </c>
      <c r="K53" s="21">
        <v>1.2E-4</v>
      </c>
    </row>
    <row r="54" spans="1:11" x14ac:dyDescent="0.45">
      <c r="A54" s="20" t="s">
        <v>132</v>
      </c>
      <c r="B54">
        <v>0.31369999999999998</v>
      </c>
      <c r="C54">
        <v>1.1639999999999999E-2</v>
      </c>
      <c r="D54">
        <v>1.89E-2</v>
      </c>
      <c r="E54">
        <v>1.7799999999999999E-3</v>
      </c>
      <c r="F54">
        <v>8.7600000000000004E-3</v>
      </c>
      <c r="G54">
        <v>0.20088</v>
      </c>
      <c r="H54">
        <v>8.1999999999999998E-4</v>
      </c>
      <c r="I54">
        <v>5.1999999999999995E-4</v>
      </c>
      <c r="J54">
        <v>6.8900000000000003E-3</v>
      </c>
      <c r="K54" s="21">
        <v>6.6899999999999998E-3</v>
      </c>
    </row>
    <row r="55" spans="1:11" x14ac:dyDescent="0.45">
      <c r="A55" s="20" t="s">
        <v>134</v>
      </c>
      <c r="B55">
        <v>0.33629999999999999</v>
      </c>
      <c r="C55">
        <v>9.2770000000000005E-2</v>
      </c>
      <c r="D55">
        <v>0.11333</v>
      </c>
      <c r="E55">
        <v>5.6100000000000004E-3</v>
      </c>
      <c r="F55">
        <v>1.8020000000000001E-2</v>
      </c>
      <c r="G55">
        <v>0.18226000000000001</v>
      </c>
      <c r="H55">
        <v>4.79E-3</v>
      </c>
      <c r="I55">
        <v>2.82E-3</v>
      </c>
      <c r="J55">
        <v>2.7990000000000001E-2</v>
      </c>
      <c r="K55" s="21">
        <v>7.3000000000000001E-3</v>
      </c>
    </row>
    <row r="56" spans="1:11" x14ac:dyDescent="0.45">
      <c r="A56" s="20" t="s">
        <v>136</v>
      </c>
      <c r="B56">
        <v>0.25489000000000001</v>
      </c>
      <c r="C56">
        <v>0.11709</v>
      </c>
      <c r="D56">
        <v>0.30513000000000001</v>
      </c>
      <c r="E56">
        <v>7.3699999999999998E-3</v>
      </c>
      <c r="F56">
        <v>1.9730000000000001E-2</v>
      </c>
      <c r="G56">
        <v>0.11526</v>
      </c>
      <c r="H56">
        <v>4.4099999999999999E-3</v>
      </c>
      <c r="I56">
        <v>5.6899999999999997E-3</v>
      </c>
      <c r="J56">
        <v>5.0549999999999998E-2</v>
      </c>
      <c r="K56" s="21">
        <v>4.96E-3</v>
      </c>
    </row>
    <row r="57" spans="1:11" x14ac:dyDescent="0.45">
      <c r="A57" s="20" t="s">
        <v>138</v>
      </c>
      <c r="B57">
        <v>0.20699000000000001</v>
      </c>
      <c r="C57">
        <v>9.0429999999999996E-2</v>
      </c>
      <c r="D57">
        <v>0.43051</v>
      </c>
      <c r="E57">
        <v>1.1560000000000001E-2</v>
      </c>
      <c r="F57">
        <v>2.6409999999999999E-2</v>
      </c>
      <c r="G57">
        <v>9.0429999999999996E-2</v>
      </c>
      <c r="H57">
        <v>2.6700000000000001E-3</v>
      </c>
      <c r="I57">
        <v>5.1999999999999998E-3</v>
      </c>
      <c r="J57">
        <v>6.9290000000000004E-2</v>
      </c>
      <c r="K57" s="21">
        <v>6.1000000000000004E-3</v>
      </c>
    </row>
    <row r="58" spans="1:11" x14ac:dyDescent="0.45">
      <c r="A58" s="20" t="s">
        <v>140</v>
      </c>
      <c r="B58">
        <v>0.19200999999999999</v>
      </c>
      <c r="C58">
        <v>7.8640000000000002E-2</v>
      </c>
      <c r="D58">
        <v>0.47423999999999999</v>
      </c>
      <c r="E58">
        <v>2.332E-2</v>
      </c>
      <c r="F58">
        <v>3.9629999999999999E-2</v>
      </c>
      <c r="G58">
        <v>8.4989999999999996E-2</v>
      </c>
      <c r="H58">
        <v>1.9400000000000001E-3</v>
      </c>
      <c r="I58">
        <v>4.9300000000000004E-3</v>
      </c>
      <c r="J58">
        <v>9.2310000000000003E-2</v>
      </c>
      <c r="K58" s="21">
        <v>9.7000000000000003E-3</v>
      </c>
    </row>
    <row r="59" spans="1:11" x14ac:dyDescent="0.45">
      <c r="A59" s="20" t="s">
        <v>142</v>
      </c>
      <c r="B59">
        <v>0.19367999999999999</v>
      </c>
      <c r="C59">
        <v>8.7090000000000001E-2</v>
      </c>
      <c r="D59">
        <v>0.46701999999999999</v>
      </c>
      <c r="E59">
        <v>3.7260000000000001E-2</v>
      </c>
      <c r="F59">
        <v>5.4170000000000003E-2</v>
      </c>
      <c r="G59">
        <v>9.3469999999999998E-2</v>
      </c>
      <c r="H59">
        <v>2.1299999999999999E-3</v>
      </c>
      <c r="I59">
        <v>4.1000000000000003E-3</v>
      </c>
      <c r="J59">
        <v>0.10355</v>
      </c>
      <c r="K59" s="21">
        <v>1.4069999999999999E-2</v>
      </c>
    </row>
    <row r="60" spans="1:11" x14ac:dyDescent="0.45">
      <c r="A60" s="20" t="s">
        <v>143</v>
      </c>
      <c r="B60">
        <v>0.19585</v>
      </c>
      <c r="C60">
        <v>0.12073</v>
      </c>
      <c r="D60">
        <v>0.43137999999999999</v>
      </c>
      <c r="E60">
        <v>5.2769999999999997E-2</v>
      </c>
      <c r="F60">
        <v>7.1959999999999996E-2</v>
      </c>
      <c r="G60">
        <v>0.11194999999999999</v>
      </c>
      <c r="H60">
        <v>2.3999999999999998E-3</v>
      </c>
      <c r="I60">
        <v>3.3899999999999998E-3</v>
      </c>
      <c r="J60">
        <v>9.3140000000000001E-2</v>
      </c>
      <c r="K60" s="21">
        <v>1.542E-2</v>
      </c>
    </row>
    <row r="61" spans="1:11" x14ac:dyDescent="0.45">
      <c r="A61" s="20" t="s">
        <v>144</v>
      </c>
      <c r="B61">
        <v>0.21912999999999999</v>
      </c>
      <c r="C61">
        <v>0.19148000000000001</v>
      </c>
      <c r="D61">
        <v>0.35137000000000002</v>
      </c>
      <c r="E61">
        <v>5.2949999999999997E-2</v>
      </c>
      <c r="F61">
        <v>8.992E-2</v>
      </c>
      <c r="G61">
        <v>0.13288</v>
      </c>
      <c r="H61">
        <v>2.7299999999999998E-3</v>
      </c>
      <c r="I61">
        <v>2.2599999999999999E-3</v>
      </c>
      <c r="J61">
        <v>6.973E-2</v>
      </c>
      <c r="K61" s="21">
        <v>1.7010000000000001E-2</v>
      </c>
    </row>
    <row r="62" spans="1:11" x14ac:dyDescent="0.45">
      <c r="A62" s="20" t="s">
        <v>145</v>
      </c>
      <c r="B62">
        <v>0.23213</v>
      </c>
      <c r="C62">
        <v>0.27638000000000001</v>
      </c>
      <c r="D62">
        <v>0.27198</v>
      </c>
      <c r="E62">
        <v>4.7879999999999999E-2</v>
      </c>
      <c r="F62">
        <v>9.8769999999999997E-2</v>
      </c>
      <c r="G62">
        <v>0.14853</v>
      </c>
      <c r="H62">
        <v>2.4299999999999999E-3</v>
      </c>
      <c r="I62">
        <v>1.25E-3</v>
      </c>
      <c r="J62">
        <v>5.885E-2</v>
      </c>
      <c r="K62" s="21">
        <v>1.609E-2</v>
      </c>
    </row>
    <row r="63" spans="1:11" x14ac:dyDescent="0.45">
      <c r="A63" s="20" t="s">
        <v>146</v>
      </c>
      <c r="B63">
        <v>0.21321999999999999</v>
      </c>
      <c r="C63">
        <v>0.36453000000000002</v>
      </c>
      <c r="D63">
        <v>0.22222</v>
      </c>
      <c r="E63">
        <v>3.7359999999999997E-2</v>
      </c>
      <c r="F63">
        <v>9.7600000000000006E-2</v>
      </c>
      <c r="G63">
        <v>0.16319</v>
      </c>
      <c r="H63">
        <v>2.1199999999999999E-3</v>
      </c>
      <c r="I63">
        <v>7.3999999999999999E-4</v>
      </c>
      <c r="J63">
        <v>5.8689999999999999E-2</v>
      </c>
      <c r="K63" s="21">
        <v>1.6420000000000001E-2</v>
      </c>
    </row>
    <row r="64" spans="1:11" x14ac:dyDescent="0.45">
      <c r="A64" s="20" t="s">
        <v>147</v>
      </c>
      <c r="B64">
        <v>0.18018000000000001</v>
      </c>
      <c r="C64">
        <v>0.42054999999999998</v>
      </c>
      <c r="D64">
        <v>0.19692000000000001</v>
      </c>
      <c r="E64">
        <v>2.4209999999999999E-2</v>
      </c>
      <c r="F64">
        <v>9.0870000000000006E-2</v>
      </c>
      <c r="G64">
        <v>0.1895</v>
      </c>
      <c r="H64">
        <v>1.8600000000000001E-3</v>
      </c>
      <c r="I64">
        <v>4.6000000000000001E-4</v>
      </c>
      <c r="J64">
        <v>5.8110000000000002E-2</v>
      </c>
      <c r="K64" s="21">
        <v>1.7219999999999999E-2</v>
      </c>
    </row>
    <row r="65" spans="1:11" x14ac:dyDescent="0.45">
      <c r="A65" s="20" t="s">
        <v>148</v>
      </c>
      <c r="B65">
        <v>0.15697</v>
      </c>
      <c r="C65">
        <v>0.45230999999999999</v>
      </c>
      <c r="D65">
        <v>0.18115999999999999</v>
      </c>
      <c r="E65">
        <v>2.3290000000000002E-2</v>
      </c>
      <c r="F65">
        <v>9.1939999999999994E-2</v>
      </c>
      <c r="G65">
        <v>0.23841999999999999</v>
      </c>
      <c r="H65">
        <v>1.6100000000000001E-3</v>
      </c>
      <c r="I65">
        <v>2.4000000000000001E-4</v>
      </c>
      <c r="J65">
        <v>6.2839999999999993E-2</v>
      </c>
      <c r="K65" s="21">
        <v>1.9220000000000001E-2</v>
      </c>
    </row>
    <row r="66" spans="1:11" x14ac:dyDescent="0.45">
      <c r="A66" s="20" t="s">
        <v>149</v>
      </c>
      <c r="B66">
        <v>0.14552999999999999</v>
      </c>
      <c r="C66">
        <v>0.45351000000000002</v>
      </c>
      <c r="D66">
        <v>0.16242999999999999</v>
      </c>
      <c r="E66">
        <v>2.7990000000000001E-2</v>
      </c>
      <c r="F66">
        <v>9.6540000000000001E-2</v>
      </c>
      <c r="G66">
        <v>0.27635999999999999</v>
      </c>
      <c r="H66">
        <v>1.06E-3</v>
      </c>
      <c r="I66">
        <v>2.7E-4</v>
      </c>
      <c r="J66">
        <v>6.232E-2</v>
      </c>
      <c r="K66" s="21">
        <v>2.0539999999999999E-2</v>
      </c>
    </row>
    <row r="67" spans="1:11" x14ac:dyDescent="0.45">
      <c r="A67" s="20" t="s">
        <v>150</v>
      </c>
      <c r="B67">
        <v>0.14524000000000001</v>
      </c>
      <c r="C67">
        <v>0.35704999999999998</v>
      </c>
      <c r="D67">
        <v>0.1113</v>
      </c>
      <c r="E67">
        <v>4.0129999999999999E-2</v>
      </c>
      <c r="F67">
        <v>9.7530000000000006E-2</v>
      </c>
      <c r="G67">
        <v>0.23130999999999999</v>
      </c>
      <c r="H67">
        <v>3.4000000000000002E-4</v>
      </c>
      <c r="I67">
        <v>1.2999999999999999E-4</v>
      </c>
      <c r="J67">
        <v>5.0279999999999998E-2</v>
      </c>
      <c r="K67" s="21">
        <v>1.8069999999999999E-2</v>
      </c>
    </row>
    <row r="68" spans="1:11" x14ac:dyDescent="0.45">
      <c r="A68" s="20" t="s">
        <v>41</v>
      </c>
      <c r="K68" s="21"/>
    </row>
    <row r="69" spans="1:11" x14ac:dyDescent="0.45">
      <c r="A69" s="20" t="s">
        <v>131</v>
      </c>
      <c r="B69">
        <v>2.128E-2</v>
      </c>
      <c r="C69">
        <v>6.9999999999999994E-5</v>
      </c>
      <c r="D69">
        <v>1.6000000000000001E-4</v>
      </c>
      <c r="E69">
        <v>5.0000000000000002E-5</v>
      </c>
      <c r="F69">
        <v>1.6000000000000001E-4</v>
      </c>
      <c r="G69">
        <v>1.3259999999999999E-2</v>
      </c>
      <c r="H69">
        <v>1.0000000000000001E-5</v>
      </c>
      <c r="I69">
        <v>1.0000000000000001E-5</v>
      </c>
      <c r="J69">
        <v>1.2E-4</v>
      </c>
      <c r="K69" s="21">
        <v>1.1E-4</v>
      </c>
    </row>
    <row r="70" spans="1:11" x14ac:dyDescent="0.45">
      <c r="A70" s="20" t="s">
        <v>132</v>
      </c>
      <c r="B70">
        <v>0.31284000000000001</v>
      </c>
      <c r="C70">
        <v>1.145E-2</v>
      </c>
      <c r="D70">
        <v>1.864E-2</v>
      </c>
      <c r="E70">
        <v>1.7600000000000001E-3</v>
      </c>
      <c r="F70">
        <v>8.2199999999999999E-3</v>
      </c>
      <c r="G70">
        <v>0.20200000000000001</v>
      </c>
      <c r="H70">
        <v>8.0999999999999996E-4</v>
      </c>
      <c r="I70">
        <v>5.1000000000000004E-4</v>
      </c>
      <c r="J70">
        <v>6.8799999999999998E-3</v>
      </c>
      <c r="K70" s="21">
        <v>6.4099999999999999E-3</v>
      </c>
    </row>
    <row r="71" spans="1:11" x14ac:dyDescent="0.45">
      <c r="A71" s="20" t="s">
        <v>134</v>
      </c>
      <c r="B71">
        <v>0.33462999999999998</v>
      </c>
      <c r="C71">
        <v>9.1009999999999994E-2</v>
      </c>
      <c r="D71">
        <v>0.1115</v>
      </c>
      <c r="E71">
        <v>5.1200000000000004E-3</v>
      </c>
      <c r="F71">
        <v>1.6590000000000001E-2</v>
      </c>
      <c r="G71">
        <v>0.18476000000000001</v>
      </c>
      <c r="H71">
        <v>4.7299999999999998E-3</v>
      </c>
      <c r="I71">
        <v>2.7699999999999999E-3</v>
      </c>
      <c r="J71">
        <v>2.7550000000000002E-2</v>
      </c>
      <c r="K71" s="21">
        <v>6.8700000000000002E-3</v>
      </c>
    </row>
    <row r="72" spans="1:11" x14ac:dyDescent="0.45">
      <c r="A72" s="20" t="s">
        <v>136</v>
      </c>
      <c r="B72">
        <v>0.25492999999999999</v>
      </c>
      <c r="C72">
        <v>0.11612</v>
      </c>
      <c r="D72">
        <v>0.30232999999999999</v>
      </c>
      <c r="E72">
        <v>8.3099999999999997E-3</v>
      </c>
      <c r="F72">
        <v>2.0559999999999998E-2</v>
      </c>
      <c r="G72">
        <v>0.11677999999999999</v>
      </c>
      <c r="H72">
        <v>4.3699999999999998E-3</v>
      </c>
      <c r="I72">
        <v>5.6800000000000002E-3</v>
      </c>
      <c r="J72">
        <v>5.2359999999999997E-2</v>
      </c>
      <c r="K72" s="21">
        <v>5.1599999999999997E-3</v>
      </c>
    </row>
    <row r="73" spans="1:11" x14ac:dyDescent="0.45">
      <c r="A73" s="20" t="s">
        <v>138</v>
      </c>
      <c r="B73">
        <v>0.20524000000000001</v>
      </c>
      <c r="C73">
        <v>9.0590000000000004E-2</v>
      </c>
      <c r="D73">
        <v>0.42956</v>
      </c>
      <c r="E73">
        <v>1.172E-2</v>
      </c>
      <c r="F73">
        <v>2.6409999999999999E-2</v>
      </c>
      <c r="G73">
        <v>9.1380000000000003E-2</v>
      </c>
      <c r="H73">
        <v>2.6900000000000001E-3</v>
      </c>
      <c r="I73">
        <v>5.2399999999999999E-3</v>
      </c>
      <c r="J73">
        <v>7.1569999999999995E-2</v>
      </c>
      <c r="K73" s="21">
        <v>6.0200000000000002E-3</v>
      </c>
    </row>
    <row r="74" spans="1:11" x14ac:dyDescent="0.45">
      <c r="A74" s="20" t="s">
        <v>140</v>
      </c>
      <c r="B74">
        <v>0.19400999999999999</v>
      </c>
      <c r="C74">
        <v>7.9750000000000001E-2</v>
      </c>
      <c r="D74">
        <v>0.46823999999999999</v>
      </c>
      <c r="E74">
        <v>2.392E-2</v>
      </c>
      <c r="F74">
        <v>3.8640000000000001E-2</v>
      </c>
      <c r="G74">
        <v>8.7599999999999997E-2</v>
      </c>
      <c r="H74">
        <v>1.97E-3</v>
      </c>
      <c r="I74">
        <v>4.9800000000000001E-3</v>
      </c>
      <c r="J74">
        <v>9.5670000000000005E-2</v>
      </c>
      <c r="K74" s="21">
        <v>9.4800000000000006E-3</v>
      </c>
    </row>
    <row r="75" spans="1:11" x14ac:dyDescent="0.45">
      <c r="A75" s="20" t="s">
        <v>142</v>
      </c>
      <c r="B75">
        <v>0.19903999999999999</v>
      </c>
      <c r="C75">
        <v>8.7639999999999996E-2</v>
      </c>
      <c r="D75">
        <v>0.46694999999999998</v>
      </c>
      <c r="E75">
        <v>3.585E-2</v>
      </c>
      <c r="F75">
        <v>5.1880000000000003E-2</v>
      </c>
      <c r="G75">
        <v>9.5820000000000002E-2</v>
      </c>
      <c r="H75">
        <v>2.14E-3</v>
      </c>
      <c r="I75">
        <v>4.1399999999999996E-3</v>
      </c>
      <c r="J75">
        <v>0.10888</v>
      </c>
      <c r="K75" s="21">
        <v>1.406E-2</v>
      </c>
    </row>
    <row r="76" spans="1:11" x14ac:dyDescent="0.45">
      <c r="A76" s="20" t="s">
        <v>143</v>
      </c>
      <c r="B76">
        <v>0.20402000000000001</v>
      </c>
      <c r="C76">
        <v>0.11924</v>
      </c>
      <c r="D76">
        <v>0.42806</v>
      </c>
      <c r="E76">
        <v>5.0250000000000003E-2</v>
      </c>
      <c r="F76">
        <v>6.9059999999999996E-2</v>
      </c>
      <c r="G76">
        <v>0.11567</v>
      </c>
      <c r="H76">
        <v>2.3500000000000001E-3</v>
      </c>
      <c r="I76">
        <v>3.3300000000000001E-3</v>
      </c>
      <c r="J76">
        <v>9.7799999999999998E-2</v>
      </c>
      <c r="K76" s="21">
        <v>1.5610000000000001E-2</v>
      </c>
    </row>
    <row r="77" spans="1:11" x14ac:dyDescent="0.45">
      <c r="A77" s="20" t="s">
        <v>144</v>
      </c>
      <c r="B77">
        <v>0.22225</v>
      </c>
      <c r="C77">
        <v>0.19170999999999999</v>
      </c>
      <c r="D77">
        <v>0.35885</v>
      </c>
      <c r="E77">
        <v>6.8169999999999994E-2</v>
      </c>
      <c r="F77">
        <v>8.7470000000000006E-2</v>
      </c>
      <c r="G77">
        <v>0.13844000000000001</v>
      </c>
      <c r="H77">
        <v>2.7200000000000002E-3</v>
      </c>
      <c r="I77">
        <v>2.5999999999999999E-3</v>
      </c>
      <c r="J77">
        <v>7.4730000000000005E-2</v>
      </c>
      <c r="K77" s="21">
        <v>1.7080000000000001E-2</v>
      </c>
    </row>
    <row r="78" spans="1:11" x14ac:dyDescent="0.45">
      <c r="A78" s="20" t="s">
        <v>145</v>
      </c>
      <c r="B78">
        <v>0.23269000000000001</v>
      </c>
      <c r="C78">
        <v>0.28226000000000001</v>
      </c>
      <c r="D78">
        <v>0.27633999999999997</v>
      </c>
      <c r="E78">
        <v>4.82E-2</v>
      </c>
      <c r="F78">
        <v>9.2600000000000002E-2</v>
      </c>
      <c r="G78">
        <v>0.15837999999999999</v>
      </c>
      <c r="H78">
        <v>2.5000000000000001E-3</v>
      </c>
      <c r="I78">
        <v>1.31E-3</v>
      </c>
      <c r="J78">
        <v>5.8319999999999997E-2</v>
      </c>
      <c r="K78" s="21">
        <v>1.704E-2</v>
      </c>
    </row>
    <row r="79" spans="1:11" x14ac:dyDescent="0.45">
      <c r="A79" s="20" t="s">
        <v>146</v>
      </c>
      <c r="B79">
        <v>0.22685</v>
      </c>
      <c r="C79">
        <v>0.36532999999999999</v>
      </c>
      <c r="D79">
        <v>0.21637000000000001</v>
      </c>
      <c r="E79">
        <v>3.721E-2</v>
      </c>
      <c r="F79">
        <v>8.8400000000000006E-2</v>
      </c>
      <c r="G79">
        <v>0.17499000000000001</v>
      </c>
      <c r="H79">
        <v>2.1199999999999999E-3</v>
      </c>
      <c r="I79">
        <v>7.6000000000000004E-4</v>
      </c>
      <c r="J79">
        <v>5.7540000000000001E-2</v>
      </c>
      <c r="K79" s="21">
        <v>1.7229999999999999E-2</v>
      </c>
    </row>
    <row r="80" spans="1:11" x14ac:dyDescent="0.45">
      <c r="A80" s="20" t="s">
        <v>147</v>
      </c>
      <c r="B80">
        <v>0.19616</v>
      </c>
      <c r="C80">
        <v>0.41902</v>
      </c>
      <c r="D80">
        <v>0.19072</v>
      </c>
      <c r="E80">
        <v>2.3609999999999999E-2</v>
      </c>
      <c r="F80">
        <v>8.2030000000000006E-2</v>
      </c>
      <c r="G80">
        <v>0.20230000000000001</v>
      </c>
      <c r="H80">
        <v>1.8500000000000001E-3</v>
      </c>
      <c r="I80">
        <v>4.4999999999999999E-4</v>
      </c>
      <c r="J80">
        <v>5.7880000000000001E-2</v>
      </c>
      <c r="K80" s="21">
        <v>1.831E-2</v>
      </c>
    </row>
    <row r="81" spans="1:11" x14ac:dyDescent="0.45">
      <c r="A81" s="20" t="s">
        <v>148</v>
      </c>
      <c r="B81">
        <v>0.17180999999999999</v>
      </c>
      <c r="C81">
        <v>0.44173000000000001</v>
      </c>
      <c r="D81">
        <v>0.17559</v>
      </c>
      <c r="E81">
        <v>2.5080000000000002E-2</v>
      </c>
      <c r="F81">
        <v>8.6449999999999999E-2</v>
      </c>
      <c r="G81">
        <v>0.24528</v>
      </c>
      <c r="H81">
        <v>1.58E-3</v>
      </c>
      <c r="I81">
        <v>2.4000000000000001E-4</v>
      </c>
      <c r="J81">
        <v>6.4439999999999997E-2</v>
      </c>
      <c r="K81" s="21">
        <v>1.949E-2</v>
      </c>
    </row>
    <row r="82" spans="1:11" x14ac:dyDescent="0.45">
      <c r="A82" s="20" t="s">
        <v>149</v>
      </c>
      <c r="B82">
        <v>0.15858</v>
      </c>
      <c r="C82">
        <v>0.44322</v>
      </c>
      <c r="D82">
        <v>0.15926999999999999</v>
      </c>
      <c r="E82">
        <v>2.69E-2</v>
      </c>
      <c r="F82">
        <v>9.2450000000000004E-2</v>
      </c>
      <c r="G82">
        <v>0.27843000000000001</v>
      </c>
      <c r="H82">
        <v>1.06E-3</v>
      </c>
      <c r="I82">
        <v>2.5999999999999998E-4</v>
      </c>
      <c r="J82">
        <v>6.3100000000000003E-2</v>
      </c>
      <c r="K82" s="21">
        <v>2.0160000000000001E-2</v>
      </c>
    </row>
    <row r="83" spans="1:11" x14ac:dyDescent="0.45">
      <c r="A83" s="20" t="s">
        <v>150</v>
      </c>
      <c r="B83">
        <v>0.15082000000000001</v>
      </c>
      <c r="C83">
        <v>0.35622999999999999</v>
      </c>
      <c r="D83">
        <v>0.11239</v>
      </c>
      <c r="E83">
        <v>3.8289999999999998E-2</v>
      </c>
      <c r="F83">
        <v>9.1359999999999997E-2</v>
      </c>
      <c r="G83">
        <v>0.23293</v>
      </c>
      <c r="H83">
        <v>3.6000000000000002E-4</v>
      </c>
      <c r="I83">
        <v>1.2999999999999999E-4</v>
      </c>
      <c r="J83">
        <v>5.0770000000000003E-2</v>
      </c>
      <c r="K83" s="21">
        <v>1.7680000000000001E-2</v>
      </c>
    </row>
    <row r="84" spans="1:11" x14ac:dyDescent="0.45">
      <c r="A84" s="20" t="s">
        <v>42</v>
      </c>
      <c r="K84" s="21"/>
    </row>
    <row r="85" spans="1:11" x14ac:dyDescent="0.45">
      <c r="A85" s="20" t="s">
        <v>131</v>
      </c>
      <c r="B85">
        <v>2.043E-2</v>
      </c>
      <c r="C85">
        <v>6.9999999999999994E-5</v>
      </c>
      <c r="D85">
        <v>1.6000000000000001E-4</v>
      </c>
      <c r="E85">
        <v>5.0000000000000002E-5</v>
      </c>
      <c r="F85">
        <v>1.4999999999999999E-4</v>
      </c>
      <c r="G85">
        <v>1.2869999999999999E-2</v>
      </c>
      <c r="H85">
        <v>1.0000000000000001E-5</v>
      </c>
      <c r="I85">
        <v>1.0000000000000001E-5</v>
      </c>
      <c r="J85">
        <v>1.2E-4</v>
      </c>
      <c r="K85" s="21">
        <v>1.1E-4</v>
      </c>
    </row>
    <row r="86" spans="1:11" x14ac:dyDescent="0.45">
      <c r="A86" s="20" t="s">
        <v>132</v>
      </c>
      <c r="B86">
        <v>0.31276999999999999</v>
      </c>
      <c r="C86">
        <v>1.123E-2</v>
      </c>
      <c r="D86">
        <v>1.8350000000000002E-2</v>
      </c>
      <c r="E86">
        <v>1.7099999999999999E-3</v>
      </c>
      <c r="F86">
        <v>7.8399999999999997E-3</v>
      </c>
      <c r="G86">
        <v>0.20388000000000001</v>
      </c>
      <c r="H86">
        <v>8.0000000000000004E-4</v>
      </c>
      <c r="I86">
        <v>5.0000000000000001E-4</v>
      </c>
      <c r="J86">
        <v>6.8300000000000001E-3</v>
      </c>
      <c r="K86" s="21">
        <v>6.2599999999999999E-3</v>
      </c>
    </row>
    <row r="87" spans="1:11" x14ac:dyDescent="0.45">
      <c r="A87" s="20" t="s">
        <v>134</v>
      </c>
      <c r="B87">
        <v>0.33323999999999998</v>
      </c>
      <c r="C87">
        <v>8.9209999999999998E-2</v>
      </c>
      <c r="D87">
        <v>0.10983</v>
      </c>
      <c r="E87">
        <v>4.9800000000000001E-3</v>
      </c>
      <c r="F87">
        <v>1.562E-2</v>
      </c>
      <c r="G87">
        <v>0.18736</v>
      </c>
      <c r="H87">
        <v>4.6299999999999996E-3</v>
      </c>
      <c r="I87">
        <v>2.7100000000000002E-3</v>
      </c>
      <c r="J87">
        <v>2.7529999999999999E-2</v>
      </c>
      <c r="K87" s="21">
        <v>6.5700000000000003E-3</v>
      </c>
    </row>
    <row r="88" spans="1:11" x14ac:dyDescent="0.45">
      <c r="A88" s="20" t="s">
        <v>136</v>
      </c>
      <c r="B88">
        <v>0.25602999999999998</v>
      </c>
      <c r="C88">
        <v>0.11445</v>
      </c>
      <c r="D88">
        <v>0.29737999999999998</v>
      </c>
      <c r="E88">
        <v>7.5900000000000004E-3</v>
      </c>
      <c r="F88">
        <v>1.9720000000000001E-2</v>
      </c>
      <c r="G88">
        <v>0.11823</v>
      </c>
      <c r="H88">
        <v>4.3400000000000001E-3</v>
      </c>
      <c r="I88">
        <v>5.6100000000000004E-3</v>
      </c>
      <c r="J88">
        <v>5.1979999999999998E-2</v>
      </c>
      <c r="K88" s="21">
        <v>4.9300000000000004E-3</v>
      </c>
    </row>
    <row r="89" spans="1:11" x14ac:dyDescent="0.45">
      <c r="A89" s="20" t="s">
        <v>138</v>
      </c>
      <c r="B89">
        <v>0.20479</v>
      </c>
      <c r="C89">
        <v>9.0819999999999998E-2</v>
      </c>
      <c r="D89">
        <v>0.42652000000000001</v>
      </c>
      <c r="E89">
        <v>1.315E-2</v>
      </c>
      <c r="F89">
        <v>2.7150000000000001E-2</v>
      </c>
      <c r="G89">
        <v>9.2509999999999995E-2</v>
      </c>
      <c r="H89">
        <v>2.6900000000000001E-3</v>
      </c>
      <c r="I89">
        <v>5.2500000000000003E-3</v>
      </c>
      <c r="J89">
        <v>7.3800000000000004E-2</v>
      </c>
      <c r="K89" s="21">
        <v>6.2100000000000002E-3</v>
      </c>
    </row>
    <row r="90" spans="1:11" x14ac:dyDescent="0.45">
      <c r="A90" s="20" t="s">
        <v>140</v>
      </c>
      <c r="B90">
        <v>0.19198999999999999</v>
      </c>
      <c r="C90">
        <v>8.0810000000000007E-2</v>
      </c>
      <c r="D90">
        <v>0.46839999999999998</v>
      </c>
      <c r="E90">
        <v>2.4320000000000001E-2</v>
      </c>
      <c r="F90">
        <v>3.884E-2</v>
      </c>
      <c r="G90">
        <v>8.8880000000000001E-2</v>
      </c>
      <c r="H90">
        <v>1.99E-3</v>
      </c>
      <c r="I90">
        <v>5.0299999999999997E-3</v>
      </c>
      <c r="J90">
        <v>9.8040000000000002E-2</v>
      </c>
      <c r="K90" s="21">
        <v>9.4699999999999993E-3</v>
      </c>
    </row>
    <row r="91" spans="1:11" x14ac:dyDescent="0.45">
      <c r="A91" s="20" t="s">
        <v>142</v>
      </c>
      <c r="B91">
        <v>0.20125000000000001</v>
      </c>
      <c r="C91">
        <v>8.9260000000000006E-2</v>
      </c>
      <c r="D91">
        <v>0.46178999999999998</v>
      </c>
      <c r="E91">
        <v>3.7010000000000001E-2</v>
      </c>
      <c r="F91">
        <v>5.1119999999999999E-2</v>
      </c>
      <c r="G91">
        <v>9.8360000000000003E-2</v>
      </c>
      <c r="H91">
        <v>2.1700000000000001E-3</v>
      </c>
      <c r="I91">
        <v>4.2100000000000002E-3</v>
      </c>
      <c r="J91">
        <v>0.11187999999999999</v>
      </c>
      <c r="K91" s="21">
        <v>1.397E-2</v>
      </c>
    </row>
    <row r="92" spans="1:11" x14ac:dyDescent="0.45">
      <c r="A92" s="20" t="s">
        <v>143</v>
      </c>
      <c r="B92">
        <v>0.20838999999999999</v>
      </c>
      <c r="C92">
        <v>0.12002</v>
      </c>
      <c r="D92">
        <v>0.42731000000000002</v>
      </c>
      <c r="E92">
        <v>4.8520000000000001E-2</v>
      </c>
      <c r="F92">
        <v>6.6960000000000006E-2</v>
      </c>
      <c r="G92">
        <v>0.11842999999999999</v>
      </c>
      <c r="H92">
        <v>2.3700000000000001E-3</v>
      </c>
      <c r="I92">
        <v>3.3600000000000001E-3</v>
      </c>
      <c r="J92">
        <v>0.10179000000000001</v>
      </c>
      <c r="K92" s="21">
        <v>1.5630000000000002E-2</v>
      </c>
    </row>
    <row r="93" spans="1:11" x14ac:dyDescent="0.45">
      <c r="A93" s="20" t="s">
        <v>144</v>
      </c>
      <c r="B93">
        <v>0.23079</v>
      </c>
      <c r="C93">
        <v>0.19017999999999999</v>
      </c>
      <c r="D93">
        <v>0.35611999999999999</v>
      </c>
      <c r="E93">
        <v>7.6850000000000002E-2</v>
      </c>
      <c r="F93">
        <v>8.5250000000000006E-2</v>
      </c>
      <c r="G93">
        <v>0.14396999999999999</v>
      </c>
      <c r="H93">
        <v>2.6700000000000001E-3</v>
      </c>
      <c r="I93">
        <v>2.6800000000000001E-3</v>
      </c>
      <c r="J93">
        <v>8.004E-2</v>
      </c>
      <c r="K93" s="21">
        <v>1.755E-2</v>
      </c>
    </row>
    <row r="94" spans="1:11" x14ac:dyDescent="0.45">
      <c r="A94" s="20" t="s">
        <v>145</v>
      </c>
      <c r="B94">
        <v>0.23541000000000001</v>
      </c>
      <c r="C94">
        <v>0.28233000000000003</v>
      </c>
      <c r="D94">
        <v>0.28069</v>
      </c>
      <c r="E94">
        <v>5.4829999999999997E-2</v>
      </c>
      <c r="F94">
        <v>8.9969999999999994E-2</v>
      </c>
      <c r="G94">
        <v>0.16245999999999999</v>
      </c>
      <c r="H94">
        <v>2.5000000000000001E-3</v>
      </c>
      <c r="I94">
        <v>1.3799999999999999E-3</v>
      </c>
      <c r="J94">
        <v>6.0879999999999997E-2</v>
      </c>
      <c r="K94" s="21">
        <v>1.6969999999999999E-2</v>
      </c>
    </row>
    <row r="95" spans="1:11" x14ac:dyDescent="0.45">
      <c r="A95" s="20" t="s">
        <v>146</v>
      </c>
      <c r="B95">
        <v>0.22814999999999999</v>
      </c>
      <c r="C95">
        <v>0.37092000000000003</v>
      </c>
      <c r="D95">
        <v>0.21789</v>
      </c>
      <c r="E95">
        <v>3.4029999999999998E-2</v>
      </c>
      <c r="F95">
        <v>8.3769999999999997E-2</v>
      </c>
      <c r="G95">
        <v>0.18373999999999999</v>
      </c>
      <c r="H95">
        <v>2.1700000000000001E-3</v>
      </c>
      <c r="I95">
        <v>7.3999999999999999E-4</v>
      </c>
      <c r="J95">
        <v>5.6460000000000003E-2</v>
      </c>
      <c r="K95" s="21">
        <v>1.7999999999999999E-2</v>
      </c>
    </row>
    <row r="96" spans="1:11" x14ac:dyDescent="0.45">
      <c r="A96" s="20" t="s">
        <v>147</v>
      </c>
      <c r="B96">
        <v>0.20857999999999999</v>
      </c>
      <c r="C96">
        <v>0.41739999999999999</v>
      </c>
      <c r="D96">
        <v>0.18598000000000001</v>
      </c>
      <c r="E96">
        <v>2.1590000000000002E-2</v>
      </c>
      <c r="F96">
        <v>7.5579999999999994E-2</v>
      </c>
      <c r="G96">
        <v>0.21446000000000001</v>
      </c>
      <c r="H96">
        <v>1.8400000000000001E-3</v>
      </c>
      <c r="I96">
        <v>4.4000000000000002E-4</v>
      </c>
      <c r="J96">
        <v>5.6189999999999997E-2</v>
      </c>
      <c r="K96" s="21">
        <v>1.9220000000000001E-2</v>
      </c>
    </row>
    <row r="97" spans="1:11" x14ac:dyDescent="0.45">
      <c r="A97" s="20" t="s">
        <v>148</v>
      </c>
      <c r="B97">
        <v>0.18526000000000001</v>
      </c>
      <c r="C97">
        <v>0.43844</v>
      </c>
      <c r="D97">
        <v>0.17086000000000001</v>
      </c>
      <c r="E97">
        <v>2.3970000000000002E-2</v>
      </c>
      <c r="F97">
        <v>7.9439999999999997E-2</v>
      </c>
      <c r="G97">
        <v>0.25453999999999999</v>
      </c>
      <c r="H97">
        <v>1.57E-3</v>
      </c>
      <c r="I97">
        <v>2.3000000000000001E-4</v>
      </c>
      <c r="J97">
        <v>6.3539999999999999E-2</v>
      </c>
      <c r="K97" s="21">
        <v>2.0410000000000001E-2</v>
      </c>
    </row>
    <row r="98" spans="1:11" x14ac:dyDescent="0.45">
      <c r="A98" s="20" t="s">
        <v>149</v>
      </c>
      <c r="B98">
        <v>0.17216999999999999</v>
      </c>
      <c r="C98">
        <v>0.43342999999999998</v>
      </c>
      <c r="D98">
        <v>0.15609000000000001</v>
      </c>
      <c r="E98">
        <v>2.7879999999999999E-2</v>
      </c>
      <c r="F98">
        <v>8.7300000000000003E-2</v>
      </c>
      <c r="G98">
        <v>0.28299999999999997</v>
      </c>
      <c r="H98">
        <v>1.0499999999999999E-3</v>
      </c>
      <c r="I98">
        <v>2.5999999999999998E-4</v>
      </c>
      <c r="J98">
        <v>6.3570000000000002E-2</v>
      </c>
      <c r="K98" s="21">
        <v>2.0230000000000001E-2</v>
      </c>
    </row>
    <row r="99" spans="1:11" x14ac:dyDescent="0.45">
      <c r="A99" s="22" t="s">
        <v>150</v>
      </c>
      <c r="B99" s="23">
        <v>0.16075</v>
      </c>
      <c r="C99" s="23">
        <v>0.34304000000000001</v>
      </c>
      <c r="D99" s="23">
        <v>0.1084</v>
      </c>
      <c r="E99" s="23">
        <v>3.6229999999999998E-2</v>
      </c>
      <c r="F99" s="23">
        <v>8.8039999999999993E-2</v>
      </c>
      <c r="G99" s="23">
        <v>0.22703999999999999</v>
      </c>
      <c r="H99" s="23">
        <v>3.5E-4</v>
      </c>
      <c r="I99" s="23">
        <v>1.2E-4</v>
      </c>
      <c r="J99" s="23">
        <v>5.0950000000000002E-2</v>
      </c>
      <c r="K99" s="24">
        <v>1.6660000000000001E-2</v>
      </c>
    </row>
  </sheetData>
  <mergeCells count="1">
    <mergeCell ref="M10:S11"/>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8"/>
  <sheetViews>
    <sheetView workbookViewId="0">
      <pane xSplit="1" ySplit="1" topLeftCell="B32" activePane="bottomRight" state="frozen"/>
      <selection pane="topRight" activeCell="Z87" sqref="Z87"/>
      <selection pane="bottomLeft" activeCell="Z87" sqref="Z87"/>
      <selection pane="bottomRight" activeCell="M53" sqref="M53:M57"/>
    </sheetView>
  </sheetViews>
  <sheetFormatPr defaultRowHeight="18.75" x14ac:dyDescent="0.45"/>
  <cols>
    <col min="1" max="1" width="22.6640625" customWidth="1"/>
    <col min="2" max="2" width="9.5546875" customWidth="1"/>
    <col min="10" max="10" width="11.44140625" customWidth="1"/>
  </cols>
  <sheetData>
    <row r="1" spans="1:8" ht="19.5" thickBot="1" x14ac:dyDescent="0.5">
      <c r="A1" s="65" t="str">
        <f>地域別男女５歳階級別人口!D5</f>
        <v>■■市</v>
      </c>
      <c r="B1" s="53" t="s">
        <v>2</v>
      </c>
      <c r="C1" s="54" t="s">
        <v>3</v>
      </c>
      <c r="D1" s="54" t="s">
        <v>4</v>
      </c>
      <c r="E1" s="54" t="s">
        <v>5</v>
      </c>
      <c r="F1" s="54" t="s">
        <v>6</v>
      </c>
      <c r="G1" s="54" t="s">
        <v>7</v>
      </c>
      <c r="H1" s="55" t="s">
        <v>8</v>
      </c>
    </row>
    <row r="2" spans="1:8" x14ac:dyDescent="0.45">
      <c r="A2" s="59" t="s">
        <v>151</v>
      </c>
      <c r="B2" s="44">
        <f t="array" ref="B2:H20">TRANSPOSE(地域別男女５歳階級別人口!G5:Y11)</f>
        <v>3609</v>
      </c>
      <c r="C2" s="45">
        <v>3801</v>
      </c>
      <c r="D2" s="45">
        <v>3756</v>
      </c>
      <c r="E2" s="45">
        <v>3846</v>
      </c>
      <c r="F2" s="45">
        <v>3895</v>
      </c>
      <c r="G2" s="45">
        <v>3857</v>
      </c>
      <c r="H2" s="46">
        <v>3763</v>
      </c>
    </row>
    <row r="3" spans="1:8" x14ac:dyDescent="0.45">
      <c r="A3" s="60" t="s">
        <v>152</v>
      </c>
      <c r="B3" s="47">
        <v>3302</v>
      </c>
      <c r="C3" s="48">
        <v>3583</v>
      </c>
      <c r="D3" s="48">
        <v>3720</v>
      </c>
      <c r="E3" s="48">
        <v>3639</v>
      </c>
      <c r="F3" s="48">
        <v>3703</v>
      </c>
      <c r="G3" s="48">
        <v>3735</v>
      </c>
      <c r="H3" s="49">
        <v>3688</v>
      </c>
    </row>
    <row r="4" spans="1:8" x14ac:dyDescent="0.45">
      <c r="A4" s="60" t="s">
        <v>153</v>
      </c>
      <c r="B4" s="47">
        <v>3024</v>
      </c>
      <c r="C4" s="48">
        <v>3286</v>
      </c>
      <c r="D4" s="48">
        <v>3531</v>
      </c>
      <c r="E4" s="48">
        <v>3646</v>
      </c>
      <c r="F4" s="48">
        <v>3553</v>
      </c>
      <c r="G4" s="48">
        <v>3606</v>
      </c>
      <c r="H4" s="49">
        <v>3629</v>
      </c>
    </row>
    <row r="5" spans="1:8" x14ac:dyDescent="0.45">
      <c r="A5" s="60" t="s">
        <v>154</v>
      </c>
      <c r="B5" s="47">
        <v>3811</v>
      </c>
      <c r="C5" s="48">
        <v>3917</v>
      </c>
      <c r="D5" s="48">
        <v>4104</v>
      </c>
      <c r="E5" s="48">
        <v>4267</v>
      </c>
      <c r="F5" s="48">
        <v>4325</v>
      </c>
      <c r="G5" s="48">
        <v>4155</v>
      </c>
      <c r="H5" s="49">
        <v>4171</v>
      </c>
    </row>
    <row r="6" spans="1:8" x14ac:dyDescent="0.45">
      <c r="A6" s="60" t="s">
        <v>155</v>
      </c>
      <c r="B6" s="47">
        <v>4691</v>
      </c>
      <c r="C6" s="48">
        <v>5265</v>
      </c>
      <c r="D6" s="48">
        <v>5194</v>
      </c>
      <c r="E6" s="48">
        <v>5215</v>
      </c>
      <c r="F6" s="48">
        <v>5204</v>
      </c>
      <c r="G6" s="48">
        <v>5147</v>
      </c>
      <c r="H6" s="49">
        <v>4845</v>
      </c>
    </row>
    <row r="7" spans="1:8" x14ac:dyDescent="0.45">
      <c r="A7" s="60" t="s">
        <v>156</v>
      </c>
      <c r="B7" s="47">
        <v>3132</v>
      </c>
      <c r="C7" s="48">
        <v>3233</v>
      </c>
      <c r="D7" s="48">
        <v>3572</v>
      </c>
      <c r="E7" s="48">
        <v>3492</v>
      </c>
      <c r="F7" s="48">
        <v>3474</v>
      </c>
      <c r="G7" s="48">
        <v>3428</v>
      </c>
      <c r="H7" s="49">
        <v>3368</v>
      </c>
    </row>
    <row r="8" spans="1:8" x14ac:dyDescent="0.45">
      <c r="A8" s="60" t="s">
        <v>157</v>
      </c>
      <c r="B8" s="47">
        <v>4204</v>
      </c>
      <c r="C8" s="48">
        <v>3826</v>
      </c>
      <c r="D8" s="48">
        <v>3840</v>
      </c>
      <c r="E8" s="48">
        <v>4131</v>
      </c>
      <c r="F8" s="48">
        <v>3982</v>
      </c>
      <c r="G8" s="48">
        <v>3908</v>
      </c>
      <c r="H8" s="49">
        <v>3794</v>
      </c>
    </row>
    <row r="9" spans="1:8" x14ac:dyDescent="0.45">
      <c r="A9" s="60" t="s">
        <v>158</v>
      </c>
      <c r="B9" s="47">
        <v>4990</v>
      </c>
      <c r="C9" s="48">
        <v>4644</v>
      </c>
      <c r="D9" s="48">
        <v>4231</v>
      </c>
      <c r="E9" s="48">
        <v>4184</v>
      </c>
      <c r="F9" s="48">
        <v>4453</v>
      </c>
      <c r="G9" s="48">
        <v>4272</v>
      </c>
      <c r="H9" s="49">
        <v>4171</v>
      </c>
    </row>
    <row r="10" spans="1:8" x14ac:dyDescent="0.45">
      <c r="A10" s="60" t="s">
        <v>159</v>
      </c>
      <c r="B10" s="47">
        <v>5295</v>
      </c>
      <c r="C10" s="48">
        <v>5052</v>
      </c>
      <c r="D10" s="48">
        <v>4683</v>
      </c>
      <c r="E10" s="48">
        <v>4263</v>
      </c>
      <c r="F10" s="48">
        <v>4190</v>
      </c>
      <c r="G10" s="48">
        <v>4443</v>
      </c>
      <c r="H10" s="49">
        <v>4255</v>
      </c>
    </row>
    <row r="11" spans="1:8" x14ac:dyDescent="0.45">
      <c r="A11" s="60" t="s">
        <v>160</v>
      </c>
      <c r="B11" s="47">
        <v>4175</v>
      </c>
      <c r="C11" s="48">
        <v>5219</v>
      </c>
      <c r="D11" s="48">
        <v>4924</v>
      </c>
      <c r="E11" s="48">
        <v>4555</v>
      </c>
      <c r="F11" s="48">
        <v>4144</v>
      </c>
      <c r="G11" s="48">
        <v>4063</v>
      </c>
      <c r="H11" s="49">
        <v>4299</v>
      </c>
    </row>
    <row r="12" spans="1:8" x14ac:dyDescent="0.45">
      <c r="A12" s="60" t="s">
        <v>161</v>
      </c>
      <c r="B12" s="47">
        <v>3348</v>
      </c>
      <c r="C12" s="48">
        <v>4124</v>
      </c>
      <c r="D12" s="48">
        <v>5117</v>
      </c>
      <c r="E12" s="48">
        <v>4789</v>
      </c>
      <c r="F12" s="48">
        <v>4426</v>
      </c>
      <c r="G12" s="48">
        <v>4027</v>
      </c>
      <c r="H12" s="49">
        <v>3942</v>
      </c>
    </row>
    <row r="13" spans="1:8" x14ac:dyDescent="0.45">
      <c r="A13" s="60" t="s">
        <v>162</v>
      </c>
      <c r="B13" s="47">
        <v>2527</v>
      </c>
      <c r="C13" s="48">
        <v>3289</v>
      </c>
      <c r="D13" s="48">
        <v>4031</v>
      </c>
      <c r="E13" s="48">
        <v>4973</v>
      </c>
      <c r="F13" s="48">
        <v>4624</v>
      </c>
      <c r="G13" s="48">
        <v>4268</v>
      </c>
      <c r="H13" s="49">
        <v>3886</v>
      </c>
    </row>
    <row r="14" spans="1:8" x14ac:dyDescent="0.45">
      <c r="A14" s="60" t="s">
        <v>163</v>
      </c>
      <c r="B14" s="47">
        <v>2541</v>
      </c>
      <c r="C14" s="48">
        <v>2503</v>
      </c>
      <c r="D14" s="48">
        <v>3233</v>
      </c>
      <c r="E14" s="48">
        <v>3950</v>
      </c>
      <c r="F14" s="48">
        <v>4849</v>
      </c>
      <c r="G14" s="48">
        <v>4485</v>
      </c>
      <c r="H14" s="49">
        <v>4139</v>
      </c>
    </row>
    <row r="15" spans="1:8" x14ac:dyDescent="0.45">
      <c r="A15" s="60" t="s">
        <v>164</v>
      </c>
      <c r="B15" s="47">
        <v>2909</v>
      </c>
      <c r="C15" s="48">
        <v>2526</v>
      </c>
      <c r="D15" s="48">
        <v>2480</v>
      </c>
      <c r="E15" s="48">
        <v>3181</v>
      </c>
      <c r="F15" s="48">
        <v>3880</v>
      </c>
      <c r="G15" s="48">
        <v>4754</v>
      </c>
      <c r="H15" s="49">
        <v>4386</v>
      </c>
    </row>
    <row r="16" spans="1:8" x14ac:dyDescent="0.45">
      <c r="A16" s="60" t="s">
        <v>165</v>
      </c>
      <c r="B16" s="47">
        <v>2333</v>
      </c>
      <c r="C16" s="48">
        <v>2866</v>
      </c>
      <c r="D16" s="48">
        <v>2486</v>
      </c>
      <c r="E16" s="48">
        <v>2434</v>
      </c>
      <c r="F16" s="48">
        <v>3104</v>
      </c>
      <c r="G16" s="48">
        <v>3781</v>
      </c>
      <c r="H16" s="49">
        <v>4624</v>
      </c>
    </row>
    <row r="17" spans="1:16" x14ac:dyDescent="0.45">
      <c r="A17" s="60" t="s">
        <v>166</v>
      </c>
      <c r="B17" s="47">
        <v>1620</v>
      </c>
      <c r="C17" s="48">
        <v>2214</v>
      </c>
      <c r="D17" s="48">
        <v>2732</v>
      </c>
      <c r="E17" s="48">
        <v>2367</v>
      </c>
      <c r="F17" s="48">
        <v>2314</v>
      </c>
      <c r="G17" s="48">
        <v>2934</v>
      </c>
      <c r="H17" s="49">
        <v>3571</v>
      </c>
    </row>
    <row r="18" spans="1:16" x14ac:dyDescent="0.45">
      <c r="A18" s="60" t="s">
        <v>167</v>
      </c>
      <c r="B18" s="47">
        <v>1107</v>
      </c>
      <c r="C18" s="48">
        <v>1448</v>
      </c>
      <c r="D18" s="48">
        <v>1975</v>
      </c>
      <c r="E18" s="48">
        <v>2461</v>
      </c>
      <c r="F18" s="48">
        <v>2131</v>
      </c>
      <c r="G18" s="48">
        <v>2086</v>
      </c>
      <c r="H18" s="49">
        <v>2641</v>
      </c>
    </row>
    <row r="19" spans="1:16" x14ac:dyDescent="0.45">
      <c r="A19" s="60" t="s">
        <v>168</v>
      </c>
      <c r="B19" s="47">
        <v>663</v>
      </c>
      <c r="C19" s="48">
        <v>892</v>
      </c>
      <c r="D19" s="48">
        <v>1157</v>
      </c>
      <c r="E19" s="48">
        <v>1570</v>
      </c>
      <c r="F19" s="48">
        <v>1987</v>
      </c>
      <c r="G19" s="48">
        <v>1715</v>
      </c>
      <c r="H19" s="49">
        <v>1685</v>
      </c>
    </row>
    <row r="20" spans="1:16" ht="19.5" thickBot="1" x14ac:dyDescent="0.5">
      <c r="A20" s="61" t="s">
        <v>169</v>
      </c>
      <c r="B20" s="50">
        <v>317</v>
      </c>
      <c r="C20" s="51">
        <v>526</v>
      </c>
      <c r="D20" s="51">
        <v>748</v>
      </c>
      <c r="E20" s="51">
        <v>987</v>
      </c>
      <c r="F20" s="51">
        <v>1325</v>
      </c>
      <c r="G20" s="51">
        <v>1768</v>
      </c>
      <c r="H20" s="52">
        <v>1803</v>
      </c>
    </row>
    <row r="21" spans="1:16" x14ac:dyDescent="0.45">
      <c r="A21" s="41" t="s">
        <v>170</v>
      </c>
      <c r="B21" s="44">
        <f t="array" ref="B21:H39">TRANSPOSE(地域別男女５歳階級別人口!AB5:AT11)</f>
        <v>1859</v>
      </c>
      <c r="C21" s="45">
        <v>1949</v>
      </c>
      <c r="D21" s="45">
        <v>1926</v>
      </c>
      <c r="E21" s="45">
        <v>1972</v>
      </c>
      <c r="F21" s="45">
        <v>1997</v>
      </c>
      <c r="G21" s="45">
        <v>1977</v>
      </c>
      <c r="H21" s="46">
        <v>1929</v>
      </c>
    </row>
    <row r="22" spans="1:16" x14ac:dyDescent="0.45">
      <c r="A22" s="42" t="s">
        <v>171</v>
      </c>
      <c r="B22" s="47">
        <v>1649</v>
      </c>
      <c r="C22" s="48">
        <v>1810</v>
      </c>
      <c r="D22" s="48">
        <v>1875</v>
      </c>
      <c r="E22" s="48">
        <v>1836</v>
      </c>
      <c r="F22" s="48">
        <v>1870</v>
      </c>
      <c r="G22" s="48">
        <v>1887</v>
      </c>
      <c r="H22" s="49">
        <v>1864</v>
      </c>
      <c r="J22" t="s">
        <v>172</v>
      </c>
    </row>
    <row r="23" spans="1:16" x14ac:dyDescent="0.45">
      <c r="A23" s="42" t="s">
        <v>173</v>
      </c>
      <c r="B23" s="47">
        <v>1546</v>
      </c>
      <c r="C23" s="48">
        <v>1646</v>
      </c>
      <c r="D23" s="48">
        <v>1785</v>
      </c>
      <c r="E23" s="48">
        <v>1837</v>
      </c>
      <c r="F23" s="48">
        <v>1791</v>
      </c>
      <c r="G23" s="48">
        <v>1818</v>
      </c>
      <c r="H23" s="49">
        <v>1830</v>
      </c>
      <c r="J23" s="62" t="s">
        <v>174</v>
      </c>
      <c r="K23" s="64" t="s">
        <v>2</v>
      </c>
      <c r="L23" s="64" t="s">
        <v>3</v>
      </c>
      <c r="M23" s="64" t="s">
        <v>4</v>
      </c>
      <c r="N23" s="64" t="s">
        <v>5</v>
      </c>
      <c r="O23" s="64" t="s">
        <v>6</v>
      </c>
      <c r="P23" s="64" t="s">
        <v>7</v>
      </c>
    </row>
    <row r="24" spans="1:16" x14ac:dyDescent="0.45">
      <c r="A24" s="42" t="s">
        <v>175</v>
      </c>
      <c r="B24" s="47">
        <v>1965</v>
      </c>
      <c r="C24" s="48">
        <v>1996</v>
      </c>
      <c r="D24" s="48">
        <v>2060</v>
      </c>
      <c r="E24" s="48">
        <v>2154</v>
      </c>
      <c r="F24" s="48">
        <v>2177</v>
      </c>
      <c r="G24" s="48">
        <v>2092</v>
      </c>
      <c r="H24" s="49">
        <v>2100</v>
      </c>
      <c r="J24" s="62" t="s">
        <v>131</v>
      </c>
      <c r="K24" s="5">
        <f>SUM(B21:B24)</f>
        <v>7019</v>
      </c>
      <c r="L24" s="5">
        <f t="shared" ref="L24:P24" si="0">SUM(C21:C24)</f>
        <v>7401</v>
      </c>
      <c r="M24" s="5">
        <f t="shared" si="0"/>
        <v>7646</v>
      </c>
      <c r="N24" s="5">
        <f t="shared" si="0"/>
        <v>7799</v>
      </c>
      <c r="O24" s="5">
        <f t="shared" si="0"/>
        <v>7835</v>
      </c>
      <c r="P24" s="5">
        <f t="shared" si="0"/>
        <v>7774</v>
      </c>
    </row>
    <row r="25" spans="1:16" x14ac:dyDescent="0.45">
      <c r="A25" s="42" t="s">
        <v>176</v>
      </c>
      <c r="B25" s="47">
        <v>2396</v>
      </c>
      <c r="C25" s="48">
        <v>2679</v>
      </c>
      <c r="D25" s="48">
        <v>2619</v>
      </c>
      <c r="E25" s="48">
        <v>2608</v>
      </c>
      <c r="F25" s="48">
        <v>2610</v>
      </c>
      <c r="G25" s="48">
        <v>2577</v>
      </c>
      <c r="H25" s="49">
        <v>2426</v>
      </c>
      <c r="J25" s="62" t="s">
        <v>132</v>
      </c>
      <c r="K25" s="5">
        <f>B25</f>
        <v>2396</v>
      </c>
      <c r="L25" s="5">
        <f t="shared" ref="L25:P25" si="1">C25</f>
        <v>2679</v>
      </c>
      <c r="M25" s="5">
        <f t="shared" si="1"/>
        <v>2619</v>
      </c>
      <c r="N25" s="5">
        <f t="shared" si="1"/>
        <v>2608</v>
      </c>
      <c r="O25" s="5">
        <f t="shared" si="1"/>
        <v>2610</v>
      </c>
      <c r="P25" s="5">
        <f t="shared" si="1"/>
        <v>2577</v>
      </c>
    </row>
    <row r="26" spans="1:16" x14ac:dyDescent="0.45">
      <c r="A26" s="42" t="s">
        <v>177</v>
      </c>
      <c r="B26" s="47">
        <v>1474</v>
      </c>
      <c r="C26" s="48">
        <v>1501</v>
      </c>
      <c r="D26" s="48">
        <v>1660</v>
      </c>
      <c r="E26" s="48">
        <v>1612</v>
      </c>
      <c r="F26" s="48">
        <v>1597</v>
      </c>
      <c r="G26" s="48">
        <v>1583</v>
      </c>
      <c r="H26" s="49">
        <v>1556</v>
      </c>
      <c r="J26" s="62" t="s">
        <v>134</v>
      </c>
      <c r="K26" s="5">
        <f t="shared" ref="K26:K37" si="2">B26</f>
        <v>1474</v>
      </c>
      <c r="L26" s="5">
        <f t="shared" ref="L26:L37" si="3">C26</f>
        <v>1501</v>
      </c>
      <c r="M26" s="5">
        <f t="shared" ref="M26:M37" si="4">D26</f>
        <v>1660</v>
      </c>
      <c r="N26" s="5">
        <f t="shared" ref="N26:N37" si="5">E26</f>
        <v>1612</v>
      </c>
      <c r="O26" s="5">
        <f t="shared" ref="O26:O37" si="6">F26</f>
        <v>1597</v>
      </c>
      <c r="P26" s="5">
        <f t="shared" ref="P26:P37" si="7">G26</f>
        <v>1583</v>
      </c>
    </row>
    <row r="27" spans="1:16" x14ac:dyDescent="0.45">
      <c r="A27" s="42" t="s">
        <v>178</v>
      </c>
      <c r="B27" s="47">
        <v>2037</v>
      </c>
      <c r="C27" s="48">
        <v>1814</v>
      </c>
      <c r="D27" s="48">
        <v>1821</v>
      </c>
      <c r="E27" s="48">
        <v>1960</v>
      </c>
      <c r="F27" s="48">
        <v>1878</v>
      </c>
      <c r="G27" s="48">
        <v>1839</v>
      </c>
      <c r="H27" s="49">
        <v>1788</v>
      </c>
      <c r="J27" s="62" t="s">
        <v>136</v>
      </c>
      <c r="K27" s="5">
        <f t="shared" si="2"/>
        <v>2037</v>
      </c>
      <c r="L27" s="5">
        <f t="shared" si="3"/>
        <v>1814</v>
      </c>
      <c r="M27" s="5">
        <f t="shared" si="4"/>
        <v>1821</v>
      </c>
      <c r="N27" s="5">
        <f t="shared" si="5"/>
        <v>1960</v>
      </c>
      <c r="O27" s="5">
        <f t="shared" si="6"/>
        <v>1878</v>
      </c>
      <c r="P27" s="5">
        <f t="shared" si="7"/>
        <v>1839</v>
      </c>
    </row>
    <row r="28" spans="1:16" x14ac:dyDescent="0.45">
      <c r="A28" s="42" t="s">
        <v>179</v>
      </c>
      <c r="B28" s="47">
        <v>2514</v>
      </c>
      <c r="C28" s="48">
        <v>2260</v>
      </c>
      <c r="D28" s="48">
        <v>2031</v>
      </c>
      <c r="E28" s="48">
        <v>2010</v>
      </c>
      <c r="F28" s="48">
        <v>2139</v>
      </c>
      <c r="G28" s="48">
        <v>2040</v>
      </c>
      <c r="H28" s="49">
        <v>1988</v>
      </c>
      <c r="J28" s="62" t="s">
        <v>138</v>
      </c>
      <c r="K28" s="5">
        <f t="shared" si="2"/>
        <v>2514</v>
      </c>
      <c r="L28" s="5">
        <f t="shared" si="3"/>
        <v>2260</v>
      </c>
      <c r="M28" s="5">
        <f t="shared" si="4"/>
        <v>2031</v>
      </c>
      <c r="N28" s="5">
        <f t="shared" si="5"/>
        <v>2010</v>
      </c>
      <c r="O28" s="5">
        <f t="shared" si="6"/>
        <v>2139</v>
      </c>
      <c r="P28" s="5">
        <f t="shared" si="7"/>
        <v>2040</v>
      </c>
    </row>
    <row r="29" spans="1:16" x14ac:dyDescent="0.45">
      <c r="A29" s="42" t="s">
        <v>180</v>
      </c>
      <c r="B29" s="47">
        <v>2653</v>
      </c>
      <c r="C29" s="48">
        <v>2531</v>
      </c>
      <c r="D29" s="48">
        <v>2280</v>
      </c>
      <c r="E29" s="48">
        <v>2053</v>
      </c>
      <c r="F29" s="48">
        <v>2019</v>
      </c>
      <c r="G29" s="48">
        <v>2140</v>
      </c>
      <c r="H29" s="49">
        <v>2038</v>
      </c>
      <c r="J29" s="62" t="s">
        <v>140</v>
      </c>
      <c r="K29" s="5">
        <f t="shared" si="2"/>
        <v>2653</v>
      </c>
      <c r="L29" s="5">
        <f t="shared" si="3"/>
        <v>2531</v>
      </c>
      <c r="M29" s="5">
        <f t="shared" si="4"/>
        <v>2280</v>
      </c>
      <c r="N29" s="5">
        <f t="shared" si="5"/>
        <v>2053</v>
      </c>
      <c r="O29" s="5">
        <f t="shared" si="6"/>
        <v>2019</v>
      </c>
      <c r="P29" s="5">
        <f t="shared" si="7"/>
        <v>2140</v>
      </c>
    </row>
    <row r="30" spans="1:16" x14ac:dyDescent="0.45">
      <c r="A30" s="42" t="s">
        <v>181</v>
      </c>
      <c r="B30" s="47">
        <v>2137</v>
      </c>
      <c r="C30" s="48">
        <v>2553</v>
      </c>
      <c r="D30" s="48">
        <v>2405</v>
      </c>
      <c r="E30" s="48">
        <v>2168</v>
      </c>
      <c r="F30" s="48">
        <v>1953</v>
      </c>
      <c r="G30" s="48">
        <v>1916</v>
      </c>
      <c r="H30" s="49">
        <v>2026</v>
      </c>
      <c r="J30" s="62" t="s">
        <v>142</v>
      </c>
      <c r="K30" s="5">
        <f t="shared" si="2"/>
        <v>2137</v>
      </c>
      <c r="L30" s="5">
        <f t="shared" si="3"/>
        <v>2553</v>
      </c>
      <c r="M30" s="5">
        <f t="shared" si="4"/>
        <v>2405</v>
      </c>
      <c r="N30" s="5">
        <f t="shared" si="5"/>
        <v>2168</v>
      </c>
      <c r="O30" s="5">
        <f t="shared" si="6"/>
        <v>1953</v>
      </c>
      <c r="P30" s="5">
        <f t="shared" si="7"/>
        <v>1916</v>
      </c>
    </row>
    <row r="31" spans="1:16" x14ac:dyDescent="0.45">
      <c r="A31" s="42" t="s">
        <v>182</v>
      </c>
      <c r="B31" s="47">
        <v>1702</v>
      </c>
      <c r="C31" s="48">
        <v>2086</v>
      </c>
      <c r="D31" s="48">
        <v>2478</v>
      </c>
      <c r="E31" s="48">
        <v>2313</v>
      </c>
      <c r="F31" s="48">
        <v>2086</v>
      </c>
      <c r="G31" s="48">
        <v>1881</v>
      </c>
      <c r="H31" s="49">
        <v>1842</v>
      </c>
      <c r="J31" s="62" t="s">
        <v>143</v>
      </c>
      <c r="K31" s="5">
        <f t="shared" si="2"/>
        <v>1702</v>
      </c>
      <c r="L31" s="5">
        <f t="shared" si="3"/>
        <v>2086</v>
      </c>
      <c r="M31" s="5">
        <f t="shared" si="4"/>
        <v>2478</v>
      </c>
      <c r="N31" s="5">
        <f t="shared" si="5"/>
        <v>2313</v>
      </c>
      <c r="O31" s="5">
        <f t="shared" si="6"/>
        <v>2086</v>
      </c>
      <c r="P31" s="5">
        <f t="shared" si="7"/>
        <v>1881</v>
      </c>
    </row>
    <row r="32" spans="1:16" x14ac:dyDescent="0.45">
      <c r="A32" s="42" t="s">
        <v>183</v>
      </c>
      <c r="B32" s="47">
        <v>1236</v>
      </c>
      <c r="C32" s="48">
        <v>1631</v>
      </c>
      <c r="D32" s="48">
        <v>1989</v>
      </c>
      <c r="E32" s="48">
        <v>2351</v>
      </c>
      <c r="F32" s="48">
        <v>2180</v>
      </c>
      <c r="G32" s="48">
        <v>1966</v>
      </c>
      <c r="H32" s="49">
        <v>1775</v>
      </c>
      <c r="J32" s="62" t="s">
        <v>144</v>
      </c>
      <c r="K32" s="5">
        <f t="shared" si="2"/>
        <v>1236</v>
      </c>
      <c r="L32" s="5">
        <f t="shared" si="3"/>
        <v>1631</v>
      </c>
      <c r="M32" s="5">
        <f t="shared" si="4"/>
        <v>1989</v>
      </c>
      <c r="N32" s="5">
        <f t="shared" si="5"/>
        <v>2351</v>
      </c>
      <c r="O32" s="5">
        <f t="shared" si="6"/>
        <v>2180</v>
      </c>
      <c r="P32" s="5">
        <f t="shared" si="7"/>
        <v>1966</v>
      </c>
    </row>
    <row r="33" spans="1:16" x14ac:dyDescent="0.45">
      <c r="A33" s="42" t="s">
        <v>184</v>
      </c>
      <c r="B33" s="47">
        <v>1233</v>
      </c>
      <c r="C33" s="48">
        <v>1218</v>
      </c>
      <c r="D33" s="48">
        <v>1595</v>
      </c>
      <c r="E33" s="48">
        <v>1941</v>
      </c>
      <c r="F33" s="48">
        <v>2288</v>
      </c>
      <c r="G33" s="48">
        <v>2110</v>
      </c>
      <c r="H33" s="49">
        <v>1906</v>
      </c>
      <c r="J33" s="62" t="s">
        <v>145</v>
      </c>
      <c r="K33" s="5">
        <f t="shared" si="2"/>
        <v>1233</v>
      </c>
      <c r="L33" s="5">
        <f t="shared" si="3"/>
        <v>1218</v>
      </c>
      <c r="M33" s="5">
        <f t="shared" si="4"/>
        <v>1595</v>
      </c>
      <c r="N33" s="5">
        <f t="shared" si="5"/>
        <v>1941</v>
      </c>
      <c r="O33" s="5">
        <f t="shared" si="6"/>
        <v>2288</v>
      </c>
      <c r="P33" s="5">
        <f t="shared" si="7"/>
        <v>2110</v>
      </c>
    </row>
    <row r="34" spans="1:16" x14ac:dyDescent="0.45">
      <c r="A34" s="42" t="s">
        <v>185</v>
      </c>
      <c r="B34" s="47">
        <v>1371</v>
      </c>
      <c r="C34" s="48">
        <v>1186</v>
      </c>
      <c r="D34" s="48">
        <v>1170</v>
      </c>
      <c r="E34" s="48">
        <v>1525</v>
      </c>
      <c r="F34" s="48">
        <v>1855</v>
      </c>
      <c r="G34" s="48">
        <v>2184</v>
      </c>
      <c r="H34" s="49">
        <v>2011</v>
      </c>
      <c r="J34" s="62" t="s">
        <v>146</v>
      </c>
      <c r="K34" s="5">
        <f t="shared" si="2"/>
        <v>1371</v>
      </c>
      <c r="L34" s="5">
        <f t="shared" si="3"/>
        <v>1186</v>
      </c>
      <c r="M34" s="5">
        <f t="shared" si="4"/>
        <v>1170</v>
      </c>
      <c r="N34" s="5">
        <f t="shared" si="5"/>
        <v>1525</v>
      </c>
      <c r="O34" s="5">
        <f t="shared" si="6"/>
        <v>1855</v>
      </c>
      <c r="P34" s="5">
        <f t="shared" si="7"/>
        <v>2184</v>
      </c>
    </row>
    <row r="35" spans="1:16" x14ac:dyDescent="0.45">
      <c r="A35" s="42" t="s">
        <v>186</v>
      </c>
      <c r="B35" s="47">
        <v>1090</v>
      </c>
      <c r="C35" s="48">
        <v>1325</v>
      </c>
      <c r="D35" s="48">
        <v>1145</v>
      </c>
      <c r="E35" s="48">
        <v>1128</v>
      </c>
      <c r="F35" s="48">
        <v>1463</v>
      </c>
      <c r="G35" s="48">
        <v>1780</v>
      </c>
      <c r="H35" s="49">
        <v>2094</v>
      </c>
      <c r="J35" s="62" t="s">
        <v>147</v>
      </c>
      <c r="K35" s="5">
        <f t="shared" si="2"/>
        <v>1090</v>
      </c>
      <c r="L35" s="5">
        <f t="shared" si="3"/>
        <v>1325</v>
      </c>
      <c r="M35" s="5">
        <f t="shared" si="4"/>
        <v>1145</v>
      </c>
      <c r="N35" s="5">
        <f t="shared" si="5"/>
        <v>1128</v>
      </c>
      <c r="O35" s="5">
        <f t="shared" si="6"/>
        <v>1463</v>
      </c>
      <c r="P35" s="5">
        <f t="shared" si="7"/>
        <v>1780</v>
      </c>
    </row>
    <row r="36" spans="1:16" x14ac:dyDescent="0.45">
      <c r="A36" s="42" t="s">
        <v>187</v>
      </c>
      <c r="B36" s="47">
        <v>782</v>
      </c>
      <c r="C36" s="48">
        <v>989</v>
      </c>
      <c r="D36" s="48">
        <v>1212</v>
      </c>
      <c r="E36" s="48">
        <v>1048</v>
      </c>
      <c r="F36" s="48">
        <v>1035</v>
      </c>
      <c r="G36" s="48">
        <v>1341</v>
      </c>
      <c r="H36" s="49">
        <v>1634</v>
      </c>
      <c r="J36" s="62" t="s">
        <v>148</v>
      </c>
      <c r="K36" s="5">
        <f t="shared" si="2"/>
        <v>782</v>
      </c>
      <c r="L36" s="5">
        <f t="shared" si="3"/>
        <v>989</v>
      </c>
      <c r="M36" s="5">
        <f t="shared" si="4"/>
        <v>1212</v>
      </c>
      <c r="N36" s="5">
        <f t="shared" si="5"/>
        <v>1048</v>
      </c>
      <c r="O36" s="5">
        <f t="shared" si="6"/>
        <v>1035</v>
      </c>
      <c r="P36" s="5">
        <f t="shared" si="7"/>
        <v>1341</v>
      </c>
    </row>
    <row r="37" spans="1:16" x14ac:dyDescent="0.45">
      <c r="A37" s="42" t="s">
        <v>188</v>
      </c>
      <c r="B37" s="47">
        <v>484</v>
      </c>
      <c r="C37" s="48">
        <v>659</v>
      </c>
      <c r="D37" s="48">
        <v>838</v>
      </c>
      <c r="E37" s="48">
        <v>1043</v>
      </c>
      <c r="F37" s="48">
        <v>903</v>
      </c>
      <c r="G37" s="48">
        <v>897</v>
      </c>
      <c r="H37" s="49">
        <v>1165</v>
      </c>
      <c r="J37" s="62" t="s">
        <v>149</v>
      </c>
      <c r="K37" s="5">
        <f t="shared" si="2"/>
        <v>484</v>
      </c>
      <c r="L37" s="5">
        <f t="shared" si="3"/>
        <v>659</v>
      </c>
      <c r="M37" s="5">
        <f t="shared" si="4"/>
        <v>838</v>
      </c>
      <c r="N37" s="5">
        <f t="shared" si="5"/>
        <v>1043</v>
      </c>
      <c r="O37" s="5">
        <f t="shared" si="6"/>
        <v>903</v>
      </c>
      <c r="P37" s="5">
        <f t="shared" si="7"/>
        <v>897</v>
      </c>
    </row>
    <row r="38" spans="1:16" x14ac:dyDescent="0.45">
      <c r="A38" s="42" t="s">
        <v>189</v>
      </c>
      <c r="B38" s="47">
        <v>225</v>
      </c>
      <c r="C38" s="48">
        <v>343</v>
      </c>
      <c r="D38" s="48">
        <v>468</v>
      </c>
      <c r="E38" s="48">
        <v>600</v>
      </c>
      <c r="F38" s="48">
        <v>764</v>
      </c>
      <c r="G38" s="48">
        <v>660</v>
      </c>
      <c r="H38" s="49">
        <v>663</v>
      </c>
      <c r="J38" s="62" t="s">
        <v>150</v>
      </c>
      <c r="K38" s="5">
        <f>SUM(B38:B39)</f>
        <v>291</v>
      </c>
      <c r="L38" s="5">
        <f t="shared" ref="L38:P38" si="8">SUM(C38:C39)</f>
        <v>471</v>
      </c>
      <c r="M38" s="5">
        <f t="shared" si="8"/>
        <v>671</v>
      </c>
      <c r="N38" s="5">
        <f t="shared" si="8"/>
        <v>885</v>
      </c>
      <c r="O38" s="5">
        <f t="shared" si="8"/>
        <v>1143</v>
      </c>
      <c r="P38" s="5">
        <f t="shared" si="8"/>
        <v>1169</v>
      </c>
    </row>
    <row r="39" spans="1:16" ht="19.5" thickBot="1" x14ac:dyDescent="0.5">
      <c r="A39" s="43" t="s">
        <v>190</v>
      </c>
      <c r="B39" s="50">
        <v>66</v>
      </c>
      <c r="C39" s="51">
        <v>128</v>
      </c>
      <c r="D39" s="51">
        <v>203</v>
      </c>
      <c r="E39" s="51">
        <v>285</v>
      </c>
      <c r="F39" s="51">
        <v>379</v>
      </c>
      <c r="G39" s="51">
        <v>509</v>
      </c>
      <c r="H39" s="52">
        <v>502</v>
      </c>
    </row>
    <row r="40" spans="1:16" x14ac:dyDescent="0.45">
      <c r="A40" s="56" t="s">
        <v>191</v>
      </c>
      <c r="B40" s="44">
        <f t="array" ref="B40:H58">TRANSPOSE(地域別男女５歳階級別人口!AW5:BO11)</f>
        <v>1750</v>
      </c>
      <c r="C40" s="45">
        <v>1852</v>
      </c>
      <c r="D40" s="45">
        <v>1830</v>
      </c>
      <c r="E40" s="45">
        <v>1874</v>
      </c>
      <c r="F40" s="45">
        <v>1898</v>
      </c>
      <c r="G40" s="45">
        <v>1880</v>
      </c>
      <c r="H40" s="46">
        <v>1834</v>
      </c>
    </row>
    <row r="41" spans="1:16" x14ac:dyDescent="0.45">
      <c r="A41" s="57" t="s">
        <v>192</v>
      </c>
      <c r="B41" s="47">
        <v>1653</v>
      </c>
      <c r="C41" s="48">
        <v>1773</v>
      </c>
      <c r="D41" s="48">
        <v>1845</v>
      </c>
      <c r="E41" s="48">
        <v>1803</v>
      </c>
      <c r="F41" s="48">
        <v>1833</v>
      </c>
      <c r="G41" s="48">
        <v>1848</v>
      </c>
      <c r="H41" s="49">
        <v>1824</v>
      </c>
      <c r="J41" t="s">
        <v>172</v>
      </c>
    </row>
    <row r="42" spans="1:16" x14ac:dyDescent="0.45">
      <c r="A42" s="57" t="s">
        <v>193</v>
      </c>
      <c r="B42" s="47">
        <v>1478</v>
      </c>
      <c r="C42" s="48">
        <v>1640</v>
      </c>
      <c r="D42" s="48">
        <v>1746</v>
      </c>
      <c r="E42" s="48">
        <v>1809</v>
      </c>
      <c r="F42" s="48">
        <v>1762</v>
      </c>
      <c r="G42" s="48">
        <v>1788</v>
      </c>
      <c r="H42" s="49">
        <v>1799</v>
      </c>
      <c r="J42" s="62" t="s">
        <v>194</v>
      </c>
      <c r="K42" s="64" t="s">
        <v>2</v>
      </c>
      <c r="L42" s="64" t="s">
        <v>3</v>
      </c>
      <c r="M42" s="64" t="s">
        <v>4</v>
      </c>
      <c r="N42" s="64" t="s">
        <v>5</v>
      </c>
      <c r="O42" s="64" t="s">
        <v>6</v>
      </c>
      <c r="P42" s="64" t="s">
        <v>7</v>
      </c>
    </row>
    <row r="43" spans="1:16" x14ac:dyDescent="0.45">
      <c r="A43" s="57" t="s">
        <v>195</v>
      </c>
      <c r="B43" s="47">
        <v>1846</v>
      </c>
      <c r="C43" s="48">
        <v>1921</v>
      </c>
      <c r="D43" s="48">
        <v>2044</v>
      </c>
      <c r="E43" s="48">
        <v>2113</v>
      </c>
      <c r="F43" s="48">
        <v>2148</v>
      </c>
      <c r="G43" s="48">
        <v>2063</v>
      </c>
      <c r="H43" s="49">
        <v>2071</v>
      </c>
      <c r="J43" s="62" t="s">
        <v>131</v>
      </c>
      <c r="K43" s="5">
        <f>SUM(B40:B43)</f>
        <v>6727</v>
      </c>
      <c r="L43" s="5">
        <f t="shared" ref="L43" si="9">SUM(C40:C43)</f>
        <v>7186</v>
      </c>
      <c r="M43" s="5">
        <f t="shared" ref="M43" si="10">SUM(D40:D43)</f>
        <v>7465</v>
      </c>
      <c r="N43" s="5">
        <f t="shared" ref="N43" si="11">SUM(E40:E43)</f>
        <v>7599</v>
      </c>
      <c r="O43" s="5">
        <f t="shared" ref="O43" si="12">SUM(F40:F43)</f>
        <v>7641</v>
      </c>
      <c r="P43" s="5">
        <f t="shared" ref="P43" si="13">SUM(G40:G43)</f>
        <v>7579</v>
      </c>
    </row>
    <row r="44" spans="1:16" x14ac:dyDescent="0.45">
      <c r="A44" s="57" t="s">
        <v>196</v>
      </c>
      <c r="B44" s="47">
        <v>2295</v>
      </c>
      <c r="C44" s="48">
        <v>2586</v>
      </c>
      <c r="D44" s="48">
        <v>2575</v>
      </c>
      <c r="E44" s="48">
        <v>2607</v>
      </c>
      <c r="F44" s="48">
        <v>2594</v>
      </c>
      <c r="G44" s="48">
        <v>2570</v>
      </c>
      <c r="H44" s="49">
        <v>2419</v>
      </c>
      <c r="J44" s="62" t="s">
        <v>132</v>
      </c>
      <c r="K44" s="5">
        <f>B44</f>
        <v>2295</v>
      </c>
      <c r="L44" s="5">
        <f t="shared" ref="L44:L56" si="14">C44</f>
        <v>2586</v>
      </c>
      <c r="M44" s="5">
        <f t="shared" ref="M44:M56" si="15">D44</f>
        <v>2575</v>
      </c>
      <c r="N44" s="5">
        <f t="shared" ref="N44:N56" si="16">E44</f>
        <v>2607</v>
      </c>
      <c r="O44" s="5">
        <f t="shared" ref="O44:O56" si="17">F44</f>
        <v>2594</v>
      </c>
      <c r="P44" s="5">
        <f t="shared" ref="P44:P56" si="18">G44</f>
        <v>2570</v>
      </c>
    </row>
    <row r="45" spans="1:16" x14ac:dyDescent="0.45">
      <c r="A45" s="57" t="s">
        <v>197</v>
      </c>
      <c r="B45" s="47">
        <v>1658</v>
      </c>
      <c r="C45" s="48">
        <v>1732</v>
      </c>
      <c r="D45" s="48">
        <v>1912</v>
      </c>
      <c r="E45" s="48">
        <v>1880</v>
      </c>
      <c r="F45" s="48">
        <v>1877</v>
      </c>
      <c r="G45" s="48">
        <v>1845</v>
      </c>
      <c r="H45" s="49">
        <v>1812</v>
      </c>
      <c r="J45" s="62" t="s">
        <v>134</v>
      </c>
      <c r="K45" s="5">
        <f t="shared" ref="K45:K56" si="19">B45</f>
        <v>1658</v>
      </c>
      <c r="L45" s="5">
        <f t="shared" si="14"/>
        <v>1732</v>
      </c>
      <c r="M45" s="5">
        <f t="shared" si="15"/>
        <v>1912</v>
      </c>
      <c r="N45" s="5">
        <f t="shared" si="16"/>
        <v>1880</v>
      </c>
      <c r="O45" s="5">
        <f t="shared" si="17"/>
        <v>1877</v>
      </c>
      <c r="P45" s="5">
        <f t="shared" si="18"/>
        <v>1845</v>
      </c>
    </row>
    <row r="46" spans="1:16" x14ac:dyDescent="0.45">
      <c r="A46" s="57" t="s">
        <v>198</v>
      </c>
      <c r="B46" s="47">
        <v>2167</v>
      </c>
      <c r="C46" s="48">
        <v>2012</v>
      </c>
      <c r="D46" s="48">
        <v>2019</v>
      </c>
      <c r="E46" s="48">
        <v>2171</v>
      </c>
      <c r="F46" s="48">
        <v>2104</v>
      </c>
      <c r="G46" s="48">
        <v>2069</v>
      </c>
      <c r="H46" s="49">
        <v>2006</v>
      </c>
      <c r="J46" s="62" t="s">
        <v>136</v>
      </c>
      <c r="K46" s="5">
        <f t="shared" si="19"/>
        <v>2167</v>
      </c>
      <c r="L46" s="5">
        <f t="shared" si="14"/>
        <v>2012</v>
      </c>
      <c r="M46" s="5">
        <f t="shared" si="15"/>
        <v>2019</v>
      </c>
      <c r="N46" s="5">
        <f t="shared" si="16"/>
        <v>2171</v>
      </c>
      <c r="O46" s="5">
        <f t="shared" si="17"/>
        <v>2104</v>
      </c>
      <c r="P46" s="5">
        <f t="shared" si="18"/>
        <v>2069</v>
      </c>
    </row>
    <row r="47" spans="1:16" x14ac:dyDescent="0.45">
      <c r="A47" s="57" t="s">
        <v>199</v>
      </c>
      <c r="B47" s="47">
        <v>2476</v>
      </c>
      <c r="C47" s="48">
        <v>2384</v>
      </c>
      <c r="D47" s="48">
        <v>2200</v>
      </c>
      <c r="E47" s="48">
        <v>2174</v>
      </c>
      <c r="F47" s="48">
        <v>2314</v>
      </c>
      <c r="G47" s="48">
        <v>2232</v>
      </c>
      <c r="H47" s="49">
        <v>2183</v>
      </c>
      <c r="J47" s="62" t="s">
        <v>138</v>
      </c>
      <c r="K47" s="5">
        <f t="shared" si="19"/>
        <v>2476</v>
      </c>
      <c r="L47" s="5">
        <f t="shared" si="14"/>
        <v>2384</v>
      </c>
      <c r="M47" s="5">
        <f t="shared" si="15"/>
        <v>2200</v>
      </c>
      <c r="N47" s="5">
        <f t="shared" si="16"/>
        <v>2174</v>
      </c>
      <c r="O47" s="5">
        <f t="shared" si="17"/>
        <v>2314</v>
      </c>
      <c r="P47" s="5">
        <f t="shared" si="18"/>
        <v>2232</v>
      </c>
    </row>
    <row r="48" spans="1:16" x14ac:dyDescent="0.45">
      <c r="A48" s="57" t="s">
        <v>200</v>
      </c>
      <c r="B48" s="47">
        <v>2642</v>
      </c>
      <c r="C48" s="48">
        <v>2521</v>
      </c>
      <c r="D48" s="48">
        <v>2403</v>
      </c>
      <c r="E48" s="48">
        <v>2210</v>
      </c>
      <c r="F48" s="48">
        <v>2171</v>
      </c>
      <c r="G48" s="48">
        <v>2303</v>
      </c>
      <c r="H48" s="49">
        <v>2217</v>
      </c>
      <c r="J48" s="62" t="s">
        <v>140</v>
      </c>
      <c r="K48" s="5">
        <f t="shared" si="19"/>
        <v>2642</v>
      </c>
      <c r="L48" s="5">
        <f t="shared" si="14"/>
        <v>2521</v>
      </c>
      <c r="M48" s="5">
        <f t="shared" si="15"/>
        <v>2403</v>
      </c>
      <c r="N48" s="5">
        <f t="shared" si="16"/>
        <v>2210</v>
      </c>
      <c r="O48" s="5">
        <f t="shared" si="17"/>
        <v>2171</v>
      </c>
      <c r="P48" s="5">
        <f t="shared" si="18"/>
        <v>2303</v>
      </c>
    </row>
    <row r="49" spans="1:16" x14ac:dyDescent="0.45">
      <c r="A49" s="57" t="s">
        <v>201</v>
      </c>
      <c r="B49" s="47">
        <v>2038</v>
      </c>
      <c r="C49" s="48">
        <v>2666</v>
      </c>
      <c r="D49" s="48">
        <v>2519</v>
      </c>
      <c r="E49" s="48">
        <v>2387</v>
      </c>
      <c r="F49" s="48">
        <v>2191</v>
      </c>
      <c r="G49" s="48">
        <v>2147</v>
      </c>
      <c r="H49" s="49">
        <v>2273</v>
      </c>
      <c r="J49" s="62" t="s">
        <v>142</v>
      </c>
      <c r="K49" s="5">
        <f t="shared" si="19"/>
        <v>2038</v>
      </c>
      <c r="L49" s="5">
        <f t="shared" si="14"/>
        <v>2666</v>
      </c>
      <c r="M49" s="5">
        <f t="shared" si="15"/>
        <v>2519</v>
      </c>
      <c r="N49" s="5">
        <f t="shared" si="16"/>
        <v>2387</v>
      </c>
      <c r="O49" s="5">
        <f t="shared" si="17"/>
        <v>2191</v>
      </c>
      <c r="P49" s="5">
        <f t="shared" si="18"/>
        <v>2147</v>
      </c>
    </row>
    <row r="50" spans="1:16" x14ac:dyDescent="0.45">
      <c r="A50" s="57" t="s">
        <v>202</v>
      </c>
      <c r="B50" s="47">
        <v>1646</v>
      </c>
      <c r="C50" s="48">
        <v>2038</v>
      </c>
      <c r="D50" s="48">
        <v>2639</v>
      </c>
      <c r="E50" s="48">
        <v>2476</v>
      </c>
      <c r="F50" s="48">
        <v>2340</v>
      </c>
      <c r="G50" s="48">
        <v>2146</v>
      </c>
      <c r="H50" s="49">
        <v>2100</v>
      </c>
      <c r="J50" s="62" t="s">
        <v>143</v>
      </c>
      <c r="K50" s="5">
        <f t="shared" si="19"/>
        <v>1646</v>
      </c>
      <c r="L50" s="5">
        <f t="shared" si="14"/>
        <v>2038</v>
      </c>
      <c r="M50" s="5">
        <f t="shared" si="15"/>
        <v>2639</v>
      </c>
      <c r="N50" s="5">
        <f t="shared" si="16"/>
        <v>2476</v>
      </c>
      <c r="O50" s="5">
        <f t="shared" si="17"/>
        <v>2340</v>
      </c>
      <c r="P50" s="5">
        <f t="shared" si="18"/>
        <v>2146</v>
      </c>
    </row>
    <row r="51" spans="1:16" x14ac:dyDescent="0.45">
      <c r="A51" s="57" t="s">
        <v>203</v>
      </c>
      <c r="B51" s="47">
        <v>1291</v>
      </c>
      <c r="C51" s="48">
        <v>1658</v>
      </c>
      <c r="D51" s="48">
        <v>2042</v>
      </c>
      <c r="E51" s="48">
        <v>2622</v>
      </c>
      <c r="F51" s="48">
        <v>2444</v>
      </c>
      <c r="G51" s="48">
        <v>2302</v>
      </c>
      <c r="H51" s="49">
        <v>2111</v>
      </c>
      <c r="J51" s="62" t="s">
        <v>144</v>
      </c>
      <c r="K51" s="5">
        <f t="shared" si="19"/>
        <v>1291</v>
      </c>
      <c r="L51" s="5">
        <f t="shared" si="14"/>
        <v>1658</v>
      </c>
      <c r="M51" s="5">
        <f t="shared" si="15"/>
        <v>2042</v>
      </c>
      <c r="N51" s="5">
        <f t="shared" si="16"/>
        <v>2622</v>
      </c>
      <c r="O51" s="5">
        <f t="shared" si="17"/>
        <v>2444</v>
      </c>
      <c r="P51" s="5">
        <f t="shared" si="18"/>
        <v>2302</v>
      </c>
    </row>
    <row r="52" spans="1:16" x14ac:dyDescent="0.45">
      <c r="A52" s="57" t="s">
        <v>204</v>
      </c>
      <c r="B52" s="47">
        <v>1308</v>
      </c>
      <c r="C52" s="48">
        <v>1285</v>
      </c>
      <c r="D52" s="48">
        <v>1638</v>
      </c>
      <c r="E52" s="48">
        <v>2009</v>
      </c>
      <c r="F52" s="48">
        <v>2561</v>
      </c>
      <c r="G52" s="48">
        <v>2375</v>
      </c>
      <c r="H52" s="49">
        <v>2233</v>
      </c>
      <c r="J52" s="62" t="s">
        <v>145</v>
      </c>
      <c r="K52" s="5">
        <f t="shared" si="19"/>
        <v>1308</v>
      </c>
      <c r="L52" s="5">
        <f t="shared" si="14"/>
        <v>1285</v>
      </c>
      <c r="M52" s="5">
        <f t="shared" si="15"/>
        <v>1638</v>
      </c>
      <c r="N52" s="5">
        <f t="shared" si="16"/>
        <v>2009</v>
      </c>
      <c r="O52" s="5">
        <f t="shared" si="17"/>
        <v>2561</v>
      </c>
      <c r="P52" s="5">
        <f t="shared" si="18"/>
        <v>2375</v>
      </c>
    </row>
    <row r="53" spans="1:16" x14ac:dyDescent="0.45">
      <c r="A53" s="57" t="s">
        <v>205</v>
      </c>
      <c r="B53" s="47">
        <v>1538</v>
      </c>
      <c r="C53" s="48">
        <v>1340</v>
      </c>
      <c r="D53" s="48">
        <v>1310</v>
      </c>
      <c r="E53" s="48">
        <v>1656</v>
      </c>
      <c r="F53" s="48">
        <v>2025</v>
      </c>
      <c r="G53" s="48">
        <v>2570</v>
      </c>
      <c r="H53" s="49">
        <v>2375</v>
      </c>
      <c r="J53" s="62" t="s">
        <v>146</v>
      </c>
      <c r="K53" s="5">
        <f t="shared" si="19"/>
        <v>1538</v>
      </c>
      <c r="L53" s="5">
        <f t="shared" si="14"/>
        <v>1340</v>
      </c>
      <c r="M53" s="5">
        <f t="shared" si="15"/>
        <v>1310</v>
      </c>
      <c r="N53" s="5">
        <f t="shared" si="16"/>
        <v>1656</v>
      </c>
      <c r="O53" s="5">
        <f t="shared" si="17"/>
        <v>2025</v>
      </c>
      <c r="P53" s="5">
        <f t="shared" si="18"/>
        <v>2570</v>
      </c>
    </row>
    <row r="54" spans="1:16" x14ac:dyDescent="0.45">
      <c r="A54" s="57" t="s">
        <v>206</v>
      </c>
      <c r="B54" s="47">
        <v>1243</v>
      </c>
      <c r="C54" s="48">
        <v>1541</v>
      </c>
      <c r="D54" s="48">
        <v>1341</v>
      </c>
      <c r="E54" s="48">
        <v>1306</v>
      </c>
      <c r="F54" s="48">
        <v>1641</v>
      </c>
      <c r="G54" s="48">
        <v>2001</v>
      </c>
      <c r="H54" s="49">
        <v>2530</v>
      </c>
      <c r="J54" s="62" t="s">
        <v>147</v>
      </c>
      <c r="K54" s="5">
        <f t="shared" si="19"/>
        <v>1243</v>
      </c>
      <c r="L54" s="5">
        <f t="shared" si="14"/>
        <v>1541</v>
      </c>
      <c r="M54" s="5">
        <f t="shared" si="15"/>
        <v>1341</v>
      </c>
      <c r="N54" s="5">
        <f t="shared" si="16"/>
        <v>1306</v>
      </c>
      <c r="O54" s="5">
        <f t="shared" si="17"/>
        <v>1641</v>
      </c>
      <c r="P54" s="5">
        <f t="shared" si="18"/>
        <v>2001</v>
      </c>
    </row>
    <row r="55" spans="1:16" x14ac:dyDescent="0.45">
      <c r="A55" s="57" t="s">
        <v>207</v>
      </c>
      <c r="B55" s="47">
        <v>838</v>
      </c>
      <c r="C55" s="48">
        <v>1225</v>
      </c>
      <c r="D55" s="48">
        <v>1520</v>
      </c>
      <c r="E55" s="48">
        <v>1319</v>
      </c>
      <c r="F55" s="48">
        <v>1279</v>
      </c>
      <c r="G55" s="48">
        <v>1593</v>
      </c>
      <c r="H55" s="49">
        <v>1937</v>
      </c>
      <c r="J55" s="62" t="s">
        <v>148</v>
      </c>
      <c r="K55" s="5">
        <f t="shared" si="19"/>
        <v>838</v>
      </c>
      <c r="L55" s="5">
        <f t="shared" si="14"/>
        <v>1225</v>
      </c>
      <c r="M55" s="5">
        <f t="shared" si="15"/>
        <v>1520</v>
      </c>
      <c r="N55" s="5">
        <f t="shared" si="16"/>
        <v>1319</v>
      </c>
      <c r="O55" s="5">
        <f t="shared" si="17"/>
        <v>1279</v>
      </c>
      <c r="P55" s="5">
        <f t="shared" si="18"/>
        <v>1593</v>
      </c>
    </row>
    <row r="56" spans="1:16" x14ac:dyDescent="0.45">
      <c r="A56" s="57" t="s">
        <v>208</v>
      </c>
      <c r="B56" s="47">
        <v>623</v>
      </c>
      <c r="C56" s="48">
        <v>789</v>
      </c>
      <c r="D56" s="48">
        <v>1137</v>
      </c>
      <c r="E56" s="48">
        <v>1418</v>
      </c>
      <c r="F56" s="48">
        <v>1228</v>
      </c>
      <c r="G56" s="48">
        <v>1189</v>
      </c>
      <c r="H56" s="49">
        <v>1476</v>
      </c>
      <c r="J56" s="62" t="s">
        <v>149</v>
      </c>
      <c r="K56" s="5">
        <f t="shared" si="19"/>
        <v>623</v>
      </c>
      <c r="L56" s="5">
        <f t="shared" si="14"/>
        <v>789</v>
      </c>
      <c r="M56" s="5">
        <f t="shared" si="15"/>
        <v>1137</v>
      </c>
      <c r="N56" s="5">
        <f t="shared" si="16"/>
        <v>1418</v>
      </c>
      <c r="O56" s="5">
        <f t="shared" si="17"/>
        <v>1228</v>
      </c>
      <c r="P56" s="5">
        <f t="shared" si="18"/>
        <v>1189</v>
      </c>
    </row>
    <row r="57" spans="1:16" x14ac:dyDescent="0.45">
      <c r="A57" s="57" t="s">
        <v>209</v>
      </c>
      <c r="B57" s="47">
        <v>438</v>
      </c>
      <c r="C57" s="48">
        <v>549</v>
      </c>
      <c r="D57" s="48">
        <v>689</v>
      </c>
      <c r="E57" s="48">
        <v>970</v>
      </c>
      <c r="F57" s="48">
        <v>1223</v>
      </c>
      <c r="G57" s="48">
        <v>1055</v>
      </c>
      <c r="H57" s="49">
        <v>1022</v>
      </c>
      <c r="J57" s="62" t="s">
        <v>150</v>
      </c>
      <c r="K57" s="5">
        <f>SUM(B57:B58)</f>
        <v>689</v>
      </c>
      <c r="L57" s="5">
        <f t="shared" ref="L57" si="20">SUM(C57:C58)</f>
        <v>947</v>
      </c>
      <c r="M57" s="5">
        <f t="shared" ref="M57" si="21">SUM(D57:D58)</f>
        <v>1234</v>
      </c>
      <c r="N57" s="5">
        <f t="shared" ref="N57" si="22">SUM(E57:E58)</f>
        <v>1672</v>
      </c>
      <c r="O57" s="5">
        <f t="shared" ref="O57" si="23">SUM(F57:F58)</f>
        <v>2169</v>
      </c>
      <c r="P57" s="5">
        <f t="shared" ref="P57" si="24">SUM(G57:G58)</f>
        <v>2314</v>
      </c>
    </row>
    <row r="58" spans="1:16" ht="19.5" thickBot="1" x14ac:dyDescent="0.5">
      <c r="A58" s="58" t="s">
        <v>210</v>
      </c>
      <c r="B58" s="50">
        <v>251</v>
      </c>
      <c r="C58" s="51">
        <v>398</v>
      </c>
      <c r="D58" s="51">
        <v>545</v>
      </c>
      <c r="E58" s="51">
        <v>702</v>
      </c>
      <c r="F58" s="51">
        <v>946</v>
      </c>
      <c r="G58" s="51">
        <v>1259</v>
      </c>
      <c r="H58" s="52">
        <v>1301</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I106"/>
  <sheetViews>
    <sheetView topLeftCell="U1" workbookViewId="0">
      <pane ySplit="1" topLeftCell="A87" activePane="bottomLeft" state="frozen"/>
      <selection activeCell="Z87" sqref="Z87"/>
      <selection pane="bottomLeft" activeCell="AF103" sqref="AF103"/>
    </sheetView>
  </sheetViews>
  <sheetFormatPr defaultRowHeight="18.75" x14ac:dyDescent="0.45"/>
  <cols>
    <col min="7" max="7" width="24.88671875" customWidth="1"/>
    <col min="8" max="17" width="14.77734375" customWidth="1"/>
    <col min="19" max="19" width="23" customWidth="1"/>
    <col min="31" max="31" width="21" customWidth="1"/>
    <col min="32" max="35" width="12.77734375" customWidth="1"/>
  </cols>
  <sheetData>
    <row r="1" spans="1:32" ht="56.25" x14ac:dyDescent="0.45">
      <c r="C1" t="s">
        <v>174</v>
      </c>
      <c r="D1" t="s">
        <v>194</v>
      </c>
      <c r="G1" s="40"/>
      <c r="H1" s="63" t="s">
        <v>211</v>
      </c>
      <c r="I1" s="63" t="s">
        <v>212</v>
      </c>
      <c r="J1" s="63" t="s">
        <v>213</v>
      </c>
      <c r="K1" s="63" t="s">
        <v>214</v>
      </c>
      <c r="L1" s="63" t="s">
        <v>215</v>
      </c>
      <c r="M1" s="63" t="s">
        <v>216</v>
      </c>
      <c r="N1" s="63" t="s">
        <v>217</v>
      </c>
      <c r="O1" s="63" t="s">
        <v>218</v>
      </c>
      <c r="P1" s="63" t="s">
        <v>219</v>
      </c>
      <c r="Q1" s="63" t="s">
        <v>220</v>
      </c>
      <c r="T1" s="63" t="s">
        <v>211</v>
      </c>
      <c r="U1" s="63" t="s">
        <v>216</v>
      </c>
      <c r="V1" s="63" t="s">
        <v>221</v>
      </c>
      <c r="W1" s="63" t="s">
        <v>222</v>
      </c>
      <c r="X1" s="63" t="s">
        <v>223</v>
      </c>
      <c r="Y1" s="63" t="s">
        <v>224</v>
      </c>
      <c r="AF1" t="s">
        <v>30</v>
      </c>
    </row>
    <row r="2" spans="1:32" x14ac:dyDescent="0.45">
      <c r="A2" t="str">
        <f>LEFT(G2,5)</f>
        <v>2015年</v>
      </c>
      <c r="B2" t="str">
        <f>MID(G2,10,7)</f>
        <v>20歳未満</v>
      </c>
      <c r="C2">
        <f>VLOOKUP(B2,人口データテーブル!$J$23:$P$38,MATCH(A2,人口データテーブル!$J$23:$P$23,0),FALSE)</f>
        <v>7019</v>
      </c>
      <c r="D2">
        <f>VLOOKUP(B2,人口データテーブル!$J$42:$P$57,MATCH(A2,人口データテーブル!$J$42:$P$42,0),FALSE)</f>
        <v>6727</v>
      </c>
      <c r="F2" t="s">
        <v>225</v>
      </c>
      <c r="G2" s="39" t="s">
        <v>226</v>
      </c>
      <c r="H2">
        <f>ROUND($C2*年齢階級別男女別世帯主割合!B5,0)</f>
        <v>153</v>
      </c>
      <c r="I2">
        <f>ROUND($C2*年齢階級別男女別世帯主割合!C5,0)</f>
        <v>0</v>
      </c>
      <c r="J2">
        <f>ROUND($C2*年齢階級別男女別世帯主割合!D5,0)</f>
        <v>1</v>
      </c>
      <c r="K2">
        <f>ROUND($C2*年齢階級別男女別世帯主割合!E5,0)</f>
        <v>0</v>
      </c>
      <c r="L2">
        <f>ROUND($C2*年齢階級別男女別世帯主割合!F5,0)</f>
        <v>1</v>
      </c>
      <c r="M2">
        <f>ROUND($D2*年齢階級別男女別世帯主割合!G5,0)</f>
        <v>86</v>
      </c>
      <c r="N2">
        <f>ROUND($D2*年齢階級別男女別世帯主割合!H5,0)</f>
        <v>0</v>
      </c>
      <c r="O2">
        <f>ROUND($D2*年齢階級別男女別世帯主割合!I5,0)</f>
        <v>0</v>
      </c>
      <c r="P2">
        <f>ROUND($D2*年齢階級別男女別世帯主割合!J5,0)</f>
        <v>1</v>
      </c>
      <c r="Q2">
        <f>ROUND($D2*年齢階級別男女別世帯主割合!K5,0)</f>
        <v>1</v>
      </c>
      <c r="S2" s="39" t="s">
        <v>226</v>
      </c>
      <c r="T2">
        <f>H2</f>
        <v>153</v>
      </c>
      <c r="U2">
        <f>M2</f>
        <v>86</v>
      </c>
      <c r="V2">
        <f>I2+N2</f>
        <v>0</v>
      </c>
      <c r="W2">
        <f>J2+O2</f>
        <v>1</v>
      </c>
      <c r="X2">
        <f>K2+P2</f>
        <v>1</v>
      </c>
      <c r="Y2">
        <f>L2+Q2</f>
        <v>2</v>
      </c>
      <c r="AD2" t="str">
        <f>MID(AE2,10,2)</f>
        <v>20</v>
      </c>
      <c r="AE2" s="39" t="s">
        <v>226</v>
      </c>
      <c r="AF2">
        <f>T2+U2</f>
        <v>239</v>
      </c>
    </row>
    <row r="3" spans="1:32" x14ac:dyDescent="0.45">
      <c r="A3" t="str">
        <f t="shared" ref="A3:A66" si="0">LEFT(G3,5)</f>
        <v>2015年</v>
      </c>
      <c r="B3" t="str">
        <f t="shared" ref="B3:B66" si="1">MID(G3,10,7)</f>
        <v>20-24歳</v>
      </c>
      <c r="C3">
        <f>VLOOKUP(B3,人口データテーブル!$J$23:$P$38,MATCH(A3,人口データテーブル!$J$23:$P$23,0),FALSE)</f>
        <v>2396</v>
      </c>
      <c r="D3">
        <f>VLOOKUP(B3,人口データテーブル!$J$42:$P$57,MATCH(A3,人口データテーブル!$J$42:$P$42,0),FALSE)</f>
        <v>2295</v>
      </c>
      <c r="F3" t="s">
        <v>225</v>
      </c>
      <c r="G3" s="39" t="s">
        <v>227</v>
      </c>
      <c r="H3">
        <f>ROUND($C3*年齢階級別男女別世帯主割合!B6,0)</f>
        <v>757</v>
      </c>
      <c r="I3">
        <f>ROUND($C3*年齢階級別男女別世帯主割合!C6,0)</f>
        <v>30</v>
      </c>
      <c r="J3">
        <f>ROUND($C3*年齢階級別男女別世帯主割合!D6,0)</f>
        <v>48</v>
      </c>
      <c r="K3">
        <f>ROUND($C3*年齢階級別男女別世帯主割合!E6,0)</f>
        <v>4</v>
      </c>
      <c r="L3">
        <f>ROUND($C3*年齢階級別男女別世帯主割合!F6,0)</f>
        <v>25</v>
      </c>
      <c r="M3">
        <f>ROUND($D3*年齢階級別男女別世帯主割合!G6,0)</f>
        <v>455</v>
      </c>
      <c r="N3">
        <f>ROUND($D3*年齢階級別男女別世帯主割合!H6,0)</f>
        <v>2</v>
      </c>
      <c r="O3">
        <f>ROUND($D3*年齢階級別男女別世帯主割合!I6,0)</f>
        <v>1</v>
      </c>
      <c r="P3">
        <f>ROUND($D3*年齢階級別男女別世帯主割合!J6,0)</f>
        <v>14</v>
      </c>
      <c r="Q3">
        <f>ROUND($D3*年齢階級別男女別世帯主割合!K6,0)</f>
        <v>18</v>
      </c>
      <c r="S3" s="39" t="s">
        <v>227</v>
      </c>
      <c r="T3">
        <f t="shared" ref="T3:T66" si="2">H3</f>
        <v>757</v>
      </c>
      <c r="U3">
        <f t="shared" ref="U3:U66" si="3">M3</f>
        <v>455</v>
      </c>
      <c r="V3">
        <f t="shared" ref="V3:V66" si="4">I3+N3</f>
        <v>32</v>
      </c>
      <c r="W3">
        <f t="shared" ref="W3:W66" si="5">J3+O3</f>
        <v>49</v>
      </c>
      <c r="X3">
        <f t="shared" ref="X3:X66" si="6">K3+P3</f>
        <v>18</v>
      </c>
      <c r="Y3">
        <f t="shared" ref="Y3:Y66" si="7">L3+Q3</f>
        <v>43</v>
      </c>
      <c r="AD3" t="str">
        <f t="shared" ref="AD3:AD66" si="8">MID(AE3,10,2)</f>
        <v>20</v>
      </c>
      <c r="AE3" s="39" t="s">
        <v>227</v>
      </c>
      <c r="AF3">
        <f t="shared" ref="AF3:AF66" si="9">T3+U3</f>
        <v>1212</v>
      </c>
    </row>
    <row r="4" spans="1:32" x14ac:dyDescent="0.45">
      <c r="A4" t="str">
        <f t="shared" si="0"/>
        <v>2015年</v>
      </c>
      <c r="B4" t="str">
        <f t="shared" si="1"/>
        <v>25-29歳</v>
      </c>
      <c r="C4">
        <f>VLOOKUP(B4,人口データテーブル!$J$23:$P$38,MATCH(A4,人口データテーブル!$J$23:$P$23,0),FALSE)</f>
        <v>1474</v>
      </c>
      <c r="D4">
        <f>VLOOKUP(B4,人口データテーブル!$J$42:$P$57,MATCH(A4,人口データテーブル!$J$42:$P$42,0),FALSE)</f>
        <v>1658</v>
      </c>
      <c r="F4" t="s">
        <v>225</v>
      </c>
      <c r="G4" s="39" t="s">
        <v>228</v>
      </c>
      <c r="H4">
        <f>ROUND($C4*年齢階級別男女別世帯主割合!B7,0)</f>
        <v>499</v>
      </c>
      <c r="I4">
        <f>ROUND($C4*年齢階級別男女別世帯主割合!C7,0)</f>
        <v>141</v>
      </c>
      <c r="J4">
        <f>ROUND($C4*年齢階級別男女別世帯主割合!D7,0)</f>
        <v>174</v>
      </c>
      <c r="K4">
        <f>ROUND($C4*年齢階級別男女別世帯主割合!E7,0)</f>
        <v>7</v>
      </c>
      <c r="L4">
        <f>ROUND($C4*年齢階級別男女別世帯主割合!F7,0)</f>
        <v>31</v>
      </c>
      <c r="M4">
        <f>ROUND($D4*年齢階級別男女別世帯主割合!G7,0)</f>
        <v>287</v>
      </c>
      <c r="N4">
        <f>ROUND($D4*年齢階級別男女別世帯主割合!H7,0)</f>
        <v>8</v>
      </c>
      <c r="O4">
        <f>ROUND($D4*年齢階級別男女別世帯主割合!I7,0)</f>
        <v>5</v>
      </c>
      <c r="P4">
        <f>ROUND($D4*年齢階級別男女別世帯主割合!J7,0)</f>
        <v>30</v>
      </c>
      <c r="Q4">
        <f>ROUND($D4*年齢階級別男女別世帯主割合!K7,0)</f>
        <v>15</v>
      </c>
      <c r="S4" s="39" t="s">
        <v>228</v>
      </c>
      <c r="T4">
        <f t="shared" si="2"/>
        <v>499</v>
      </c>
      <c r="U4">
        <f t="shared" si="3"/>
        <v>287</v>
      </c>
      <c r="V4">
        <f t="shared" si="4"/>
        <v>149</v>
      </c>
      <c r="W4">
        <f t="shared" si="5"/>
        <v>179</v>
      </c>
      <c r="X4">
        <f t="shared" si="6"/>
        <v>37</v>
      </c>
      <c r="Y4">
        <f t="shared" si="7"/>
        <v>46</v>
      </c>
      <c r="AD4" t="str">
        <f t="shared" si="8"/>
        <v>25</v>
      </c>
      <c r="AE4" s="39" t="s">
        <v>228</v>
      </c>
      <c r="AF4">
        <f t="shared" si="9"/>
        <v>786</v>
      </c>
    </row>
    <row r="5" spans="1:32" x14ac:dyDescent="0.45">
      <c r="A5" t="str">
        <f t="shared" si="0"/>
        <v>2015年</v>
      </c>
      <c r="B5" t="str">
        <f t="shared" si="1"/>
        <v>30-34歳</v>
      </c>
      <c r="C5">
        <f>VLOOKUP(B5,人口データテーブル!$J$23:$P$38,MATCH(A5,人口データテーブル!$J$23:$P$23,0),FALSE)</f>
        <v>2037</v>
      </c>
      <c r="D5">
        <f>VLOOKUP(B5,人口データテーブル!$J$42:$P$57,MATCH(A5,人口データテーブル!$J$42:$P$42,0),FALSE)</f>
        <v>2167</v>
      </c>
      <c r="F5" t="s">
        <v>225</v>
      </c>
      <c r="G5" s="39" t="s">
        <v>229</v>
      </c>
      <c r="H5">
        <f>ROUND($C5*年齢階級別男女別世帯主割合!B8,0)</f>
        <v>486</v>
      </c>
      <c r="I5">
        <f>ROUND($C5*年齢階級別男女別世帯主割合!C8,0)</f>
        <v>237</v>
      </c>
      <c r="J5">
        <f>ROUND($C5*年齢階級別男女別世帯主割合!D8,0)</f>
        <v>642</v>
      </c>
      <c r="K5">
        <f>ROUND($C5*年齢階級別男女別世帯主割合!E8,0)</f>
        <v>16</v>
      </c>
      <c r="L5">
        <f>ROUND($C5*年齢階級別男女別世帯主割合!F8,0)</f>
        <v>51</v>
      </c>
      <c r="M5">
        <f>ROUND($D5*年齢階級別男女別世帯主割合!G8,0)</f>
        <v>232</v>
      </c>
      <c r="N5">
        <f>ROUND($D5*年齢階級別男女別世帯主割合!H8,0)</f>
        <v>9</v>
      </c>
      <c r="O5">
        <f>ROUND($D5*年齢階級別男女別世帯主割合!I8,0)</f>
        <v>12</v>
      </c>
      <c r="P5">
        <f>ROUND($D5*年齢階級別男女別世帯主割合!J8,0)</f>
        <v>73</v>
      </c>
      <c r="Q5">
        <f>ROUND($D5*年齢階級別男女別世帯主割合!K8,0)</f>
        <v>15</v>
      </c>
      <c r="S5" s="39" t="s">
        <v>229</v>
      </c>
      <c r="T5">
        <f t="shared" si="2"/>
        <v>486</v>
      </c>
      <c r="U5">
        <f t="shared" si="3"/>
        <v>232</v>
      </c>
      <c r="V5">
        <f t="shared" si="4"/>
        <v>246</v>
      </c>
      <c r="W5">
        <f t="shared" si="5"/>
        <v>654</v>
      </c>
      <c r="X5">
        <f t="shared" si="6"/>
        <v>89</v>
      </c>
      <c r="Y5">
        <f t="shared" si="7"/>
        <v>66</v>
      </c>
      <c r="AD5" t="str">
        <f t="shared" si="8"/>
        <v>30</v>
      </c>
      <c r="AE5" s="39" t="s">
        <v>229</v>
      </c>
      <c r="AF5">
        <f t="shared" si="9"/>
        <v>718</v>
      </c>
    </row>
    <row r="6" spans="1:32" x14ac:dyDescent="0.45">
      <c r="A6" t="str">
        <f t="shared" si="0"/>
        <v>2015年</v>
      </c>
      <c r="B6" t="str">
        <f t="shared" si="1"/>
        <v>35-39歳</v>
      </c>
      <c r="C6">
        <f>VLOOKUP(B6,人口データテーブル!$J$23:$P$38,MATCH(A6,人口データテーブル!$J$23:$P$23,0),FALSE)</f>
        <v>2514</v>
      </c>
      <c r="D6">
        <f>VLOOKUP(B6,人口データテーブル!$J$42:$P$57,MATCH(A6,人口データテーブル!$J$42:$P$42,0),FALSE)</f>
        <v>2476</v>
      </c>
      <c r="F6" t="s">
        <v>225</v>
      </c>
      <c r="G6" s="39" t="s">
        <v>230</v>
      </c>
      <c r="H6">
        <f>ROUND($C6*年齢階級別男女別世帯主割合!B9,0)</f>
        <v>473</v>
      </c>
      <c r="I6">
        <f>ROUND($C6*年齢階級別男女別世帯主割合!C9,0)</f>
        <v>227</v>
      </c>
      <c r="J6">
        <f>ROUND($C6*年齢階級別男女別世帯主割合!D9,0)</f>
        <v>1084</v>
      </c>
      <c r="K6">
        <f>ROUND($C6*年齢階級別男女別世帯主割合!E9,0)</f>
        <v>32</v>
      </c>
      <c r="L6">
        <f>ROUND($C6*年齢階級別男女別世帯主割合!F9,0)</f>
        <v>85</v>
      </c>
      <c r="M6">
        <f>ROUND($D6*年齢階級別男女別世帯主割合!G9,0)</f>
        <v>196</v>
      </c>
      <c r="N6">
        <f>ROUND($D6*年齢階級別男女別世帯主割合!H9,0)</f>
        <v>6</v>
      </c>
      <c r="O6">
        <f>ROUND($D6*年齢階級別男女別世帯主割合!I9,0)</f>
        <v>12</v>
      </c>
      <c r="P6">
        <f>ROUND($D6*年齢階級別男女別世帯主割合!J9,0)</f>
        <v>122</v>
      </c>
      <c r="Q6">
        <f>ROUND($D6*年齢階級別男女別世帯主割合!K9,0)</f>
        <v>17</v>
      </c>
      <c r="S6" s="39" t="s">
        <v>230</v>
      </c>
      <c r="T6">
        <f t="shared" si="2"/>
        <v>473</v>
      </c>
      <c r="U6">
        <f t="shared" si="3"/>
        <v>196</v>
      </c>
      <c r="V6">
        <f t="shared" si="4"/>
        <v>233</v>
      </c>
      <c r="W6">
        <f t="shared" si="5"/>
        <v>1096</v>
      </c>
      <c r="X6">
        <f t="shared" si="6"/>
        <v>154</v>
      </c>
      <c r="Y6">
        <f t="shared" si="7"/>
        <v>102</v>
      </c>
      <c r="AD6" t="str">
        <f t="shared" si="8"/>
        <v>35</v>
      </c>
      <c r="AE6" s="39" t="s">
        <v>230</v>
      </c>
      <c r="AF6">
        <f t="shared" si="9"/>
        <v>669</v>
      </c>
    </row>
    <row r="7" spans="1:32" x14ac:dyDescent="0.45">
      <c r="A7" t="str">
        <f t="shared" si="0"/>
        <v>2015年</v>
      </c>
      <c r="B7" t="str">
        <f t="shared" si="1"/>
        <v>40-44歳</v>
      </c>
      <c r="C7">
        <f>VLOOKUP(B7,人口データテーブル!$J$23:$P$38,MATCH(A7,人口データテーブル!$J$23:$P$23,0),FALSE)</f>
        <v>2653</v>
      </c>
      <c r="D7">
        <f>VLOOKUP(B7,人口データテーブル!$J$42:$P$57,MATCH(A7,人口データテーブル!$J$42:$P$42,0),FALSE)</f>
        <v>2642</v>
      </c>
      <c r="F7" t="s">
        <v>225</v>
      </c>
      <c r="G7" s="39" t="s">
        <v>231</v>
      </c>
      <c r="H7">
        <f>ROUND($C7*年齢階級別男女別世帯主割合!B10,0)</f>
        <v>474</v>
      </c>
      <c r="I7">
        <f>ROUND($C7*年齢階級別男女別世帯主割合!C10,0)</f>
        <v>209</v>
      </c>
      <c r="J7">
        <f>ROUND($C7*年齢階級別男女別世帯主割合!D10,0)</f>
        <v>1208</v>
      </c>
      <c r="K7">
        <f>ROUND($C7*年齢階級別男女別世帯主割合!E10,0)</f>
        <v>59</v>
      </c>
      <c r="L7">
        <f>ROUND($C7*年齢階級別男女別世帯主割合!F10,0)</f>
        <v>130</v>
      </c>
      <c r="M7">
        <f>ROUND($D7*年齢階級別男女別世帯主割合!G10,0)</f>
        <v>187</v>
      </c>
      <c r="N7">
        <f>ROUND($D7*年齢階級別男女別世帯主割合!H10,0)</f>
        <v>5</v>
      </c>
      <c r="O7">
        <f>ROUND($D7*年齢階級別男女別世帯主割合!I10,0)</f>
        <v>12</v>
      </c>
      <c r="P7">
        <f>ROUND($D7*年齢階級別男女別世帯主割合!J10,0)</f>
        <v>196</v>
      </c>
      <c r="Q7">
        <f>ROUND($D7*年齢階級別男女別世帯主割合!K10,0)</f>
        <v>24</v>
      </c>
      <c r="S7" s="39" t="s">
        <v>231</v>
      </c>
      <c r="T7">
        <f t="shared" si="2"/>
        <v>474</v>
      </c>
      <c r="U7">
        <f t="shared" si="3"/>
        <v>187</v>
      </c>
      <c r="V7">
        <f t="shared" si="4"/>
        <v>214</v>
      </c>
      <c r="W7">
        <f t="shared" si="5"/>
        <v>1220</v>
      </c>
      <c r="X7">
        <f t="shared" si="6"/>
        <v>255</v>
      </c>
      <c r="Y7">
        <f t="shared" si="7"/>
        <v>154</v>
      </c>
      <c r="AD7" t="str">
        <f t="shared" si="8"/>
        <v>40</v>
      </c>
      <c r="AE7" s="39" t="s">
        <v>231</v>
      </c>
      <c r="AF7">
        <f t="shared" si="9"/>
        <v>661</v>
      </c>
    </row>
    <row r="8" spans="1:32" x14ac:dyDescent="0.45">
      <c r="A8" t="str">
        <f t="shared" si="0"/>
        <v>2015年</v>
      </c>
      <c r="B8" t="str">
        <f t="shared" si="1"/>
        <v>45-49歳</v>
      </c>
      <c r="C8">
        <f>VLOOKUP(B8,人口データテーブル!$J$23:$P$38,MATCH(A8,人口データテーブル!$J$23:$P$23,0),FALSE)</f>
        <v>2137</v>
      </c>
      <c r="D8">
        <f>VLOOKUP(B8,人口データテーブル!$J$42:$P$57,MATCH(A8,人口データテーブル!$J$42:$P$42,0),FALSE)</f>
        <v>2038</v>
      </c>
      <c r="F8" t="s">
        <v>225</v>
      </c>
      <c r="G8" s="39" t="s">
        <v>232</v>
      </c>
      <c r="H8">
        <f>ROUND($C8*年齢階級別男女別世帯主割合!B11,0)</f>
        <v>389</v>
      </c>
      <c r="I8">
        <f>ROUND($C8*年齢階級別男女別世帯主割合!C11,0)</f>
        <v>179</v>
      </c>
      <c r="J8">
        <f>ROUND($C8*年齢階級別男女別世帯主割合!D11,0)</f>
        <v>955</v>
      </c>
      <c r="K8">
        <f>ROUND($C8*年齢階級別男女別世帯主割合!E11,0)</f>
        <v>73</v>
      </c>
      <c r="L8">
        <f>ROUND($C8*年齢階級別男女別世帯主割合!F11,0)</f>
        <v>153</v>
      </c>
      <c r="M8">
        <f>ROUND($D8*年齢階級別男女別世帯主割合!G11,0)</f>
        <v>152</v>
      </c>
      <c r="N8">
        <f>ROUND($D8*年齢階級別男女別世帯主割合!H11,0)</f>
        <v>4</v>
      </c>
      <c r="O8">
        <f>ROUND($D8*年齢階級別男女別世帯主割合!I11,0)</f>
        <v>8</v>
      </c>
      <c r="P8">
        <f>ROUND($D8*年齢階級別男女別世帯主割合!J11,0)</f>
        <v>194</v>
      </c>
      <c r="Q8">
        <f>ROUND($D8*年齢階級別男女別世帯主割合!K11,0)</f>
        <v>26</v>
      </c>
      <c r="S8" s="39" t="s">
        <v>232</v>
      </c>
      <c r="T8">
        <f t="shared" si="2"/>
        <v>389</v>
      </c>
      <c r="U8">
        <f t="shared" si="3"/>
        <v>152</v>
      </c>
      <c r="V8">
        <f t="shared" si="4"/>
        <v>183</v>
      </c>
      <c r="W8">
        <f t="shared" si="5"/>
        <v>963</v>
      </c>
      <c r="X8">
        <f t="shared" si="6"/>
        <v>267</v>
      </c>
      <c r="Y8">
        <f t="shared" si="7"/>
        <v>179</v>
      </c>
      <c r="AD8" t="str">
        <f t="shared" si="8"/>
        <v>45</v>
      </c>
      <c r="AE8" s="39" t="s">
        <v>232</v>
      </c>
      <c r="AF8">
        <f t="shared" si="9"/>
        <v>541</v>
      </c>
    </row>
    <row r="9" spans="1:32" x14ac:dyDescent="0.45">
      <c r="A9" t="str">
        <f t="shared" si="0"/>
        <v>2015年</v>
      </c>
      <c r="B9" t="str">
        <f t="shared" si="1"/>
        <v>50-54歳</v>
      </c>
      <c r="C9">
        <f>VLOOKUP(B9,人口データテーブル!$J$23:$P$38,MATCH(A9,人口データテーブル!$J$23:$P$23,0),FALSE)</f>
        <v>1702</v>
      </c>
      <c r="D9">
        <f>VLOOKUP(B9,人口データテーブル!$J$42:$P$57,MATCH(A9,人口データテーブル!$J$42:$P$42,0),FALSE)</f>
        <v>1646</v>
      </c>
      <c r="F9" t="s">
        <v>225</v>
      </c>
      <c r="G9" s="39" t="s">
        <v>233</v>
      </c>
      <c r="H9">
        <f>ROUND($C9*年齢階級別男女別世帯主割合!B12,0)</f>
        <v>309</v>
      </c>
      <c r="I9">
        <f>ROUND($C9*年齢階級別男女別世帯主割合!C12,0)</f>
        <v>182</v>
      </c>
      <c r="J9">
        <f>ROUND($C9*年齢階級別男女別世帯主割合!D12,0)</f>
        <v>711</v>
      </c>
      <c r="K9">
        <f>ROUND($C9*年齢階級別男女別世帯主割合!E12,0)</f>
        <v>75</v>
      </c>
      <c r="L9">
        <f>ROUND($C9*年齢階級別男女別世帯主割合!F12,0)</f>
        <v>185</v>
      </c>
      <c r="M9">
        <f>ROUND($D9*年齢階級別男女別世帯主割合!G12,0)</f>
        <v>141</v>
      </c>
      <c r="N9">
        <f>ROUND($D9*年齢階級別男女別世帯主割合!H12,0)</f>
        <v>4</v>
      </c>
      <c r="O9">
        <f>ROUND($D9*年齢階級別男女別世帯主割合!I12,0)</f>
        <v>5</v>
      </c>
      <c r="P9">
        <f>ROUND($D9*年齢階級別男女別世帯主割合!J12,0)</f>
        <v>154</v>
      </c>
      <c r="Q9">
        <f>ROUND($D9*年齢階級別男女別世帯主割合!K12,0)</f>
        <v>27</v>
      </c>
      <c r="S9" s="39" t="s">
        <v>233</v>
      </c>
      <c r="T9">
        <f t="shared" si="2"/>
        <v>309</v>
      </c>
      <c r="U9">
        <f t="shared" si="3"/>
        <v>141</v>
      </c>
      <c r="V9">
        <f t="shared" si="4"/>
        <v>186</v>
      </c>
      <c r="W9">
        <f t="shared" si="5"/>
        <v>716</v>
      </c>
      <c r="X9">
        <f t="shared" si="6"/>
        <v>229</v>
      </c>
      <c r="Y9">
        <f t="shared" si="7"/>
        <v>212</v>
      </c>
      <c r="AD9" t="str">
        <f t="shared" si="8"/>
        <v>50</v>
      </c>
      <c r="AE9" s="39" t="s">
        <v>233</v>
      </c>
      <c r="AF9">
        <f t="shared" si="9"/>
        <v>450</v>
      </c>
    </row>
    <row r="10" spans="1:32" x14ac:dyDescent="0.45">
      <c r="A10" t="str">
        <f t="shared" si="0"/>
        <v>2015年</v>
      </c>
      <c r="B10" t="str">
        <f t="shared" si="1"/>
        <v>55-59歳</v>
      </c>
      <c r="C10">
        <f>VLOOKUP(B10,人口データテーブル!$J$23:$P$38,MATCH(A10,人口データテーブル!$J$23:$P$23,0),FALSE)</f>
        <v>1236</v>
      </c>
      <c r="D10">
        <f>VLOOKUP(B10,人口データテーブル!$J$42:$P$57,MATCH(A10,人口データテーブル!$J$42:$P$42,0),FALSE)</f>
        <v>1291</v>
      </c>
      <c r="F10" t="s">
        <v>225</v>
      </c>
      <c r="G10" s="39" t="s">
        <v>234</v>
      </c>
      <c r="H10">
        <f>ROUND($C10*年齢階級別男女別世帯主割合!B13,0)</f>
        <v>226</v>
      </c>
      <c r="I10">
        <f>ROUND($C10*年齢階級別男女別世帯主割合!C13,0)</f>
        <v>206</v>
      </c>
      <c r="J10">
        <f>ROUND($C10*年齢階級別男女別世帯主割合!D13,0)</f>
        <v>442</v>
      </c>
      <c r="K10">
        <f>ROUND($C10*年齢階級別男女別世帯主割合!E13,0)</f>
        <v>56</v>
      </c>
      <c r="L10">
        <f>ROUND($C10*年齢階級別男女別世帯主割合!F13,0)</f>
        <v>180</v>
      </c>
      <c r="M10">
        <f>ROUND($D10*年齢階級別男女別世帯主割合!G13,0)</f>
        <v>122</v>
      </c>
      <c r="N10">
        <f>ROUND($D10*年齢階級別男女別世帯主割合!H13,0)</f>
        <v>3</v>
      </c>
      <c r="O10">
        <f>ROUND($D10*年齢階級別男女別世帯主割合!I13,0)</f>
        <v>3</v>
      </c>
      <c r="P10">
        <f>ROUND($D10*年齢階級別男女別世帯主割合!J13,0)</f>
        <v>95</v>
      </c>
      <c r="Q10">
        <f>ROUND($D10*年齢階級別男女別世帯主割合!K13,0)</f>
        <v>22</v>
      </c>
      <c r="S10" s="39" t="s">
        <v>234</v>
      </c>
      <c r="T10">
        <f t="shared" si="2"/>
        <v>226</v>
      </c>
      <c r="U10">
        <f t="shared" si="3"/>
        <v>122</v>
      </c>
      <c r="V10">
        <f t="shared" si="4"/>
        <v>209</v>
      </c>
      <c r="W10">
        <f t="shared" si="5"/>
        <v>445</v>
      </c>
      <c r="X10">
        <f t="shared" si="6"/>
        <v>151</v>
      </c>
      <c r="Y10">
        <f t="shared" si="7"/>
        <v>202</v>
      </c>
      <c r="AD10" t="str">
        <f t="shared" si="8"/>
        <v>55</v>
      </c>
      <c r="AE10" s="39" t="s">
        <v>234</v>
      </c>
      <c r="AF10">
        <f t="shared" si="9"/>
        <v>348</v>
      </c>
    </row>
    <row r="11" spans="1:32" x14ac:dyDescent="0.45">
      <c r="A11" t="str">
        <f t="shared" si="0"/>
        <v>2015年</v>
      </c>
      <c r="B11" t="str">
        <f t="shared" si="1"/>
        <v>60-64歳</v>
      </c>
      <c r="C11">
        <f>VLOOKUP(B11,人口データテーブル!$J$23:$P$38,MATCH(A11,人口データテーブル!$J$23:$P$23,0),FALSE)</f>
        <v>1233</v>
      </c>
      <c r="D11">
        <f>VLOOKUP(B11,人口データテーブル!$J$42:$P$57,MATCH(A11,人口データテーブル!$J$42:$P$42,0),FALSE)</f>
        <v>1308</v>
      </c>
      <c r="F11" t="s">
        <v>225</v>
      </c>
      <c r="G11" s="39" t="s">
        <v>235</v>
      </c>
      <c r="H11">
        <f>ROUND($C11*年齢階級別男女別世帯主割合!B14,0)</f>
        <v>219</v>
      </c>
      <c r="I11">
        <f>ROUND($C11*年齢階級別男女別世帯主割合!C14,0)</f>
        <v>329</v>
      </c>
      <c r="J11">
        <f>ROUND($C11*年齢階級別男女別世帯主割合!D14,0)</f>
        <v>367</v>
      </c>
      <c r="K11">
        <f>ROUND($C11*年齢階級別男女別世帯主割合!E14,0)</f>
        <v>43</v>
      </c>
      <c r="L11">
        <f>ROUND($C11*年齢階級別男女別世帯主割合!F14,0)</f>
        <v>185</v>
      </c>
      <c r="M11">
        <f>ROUND($D11*年齢階級別男女別世帯主割合!G14,0)</f>
        <v>146</v>
      </c>
      <c r="N11">
        <f>ROUND($D11*年齢階級別男女別世帯主割合!H14,0)</f>
        <v>3</v>
      </c>
      <c r="O11">
        <f>ROUND($D11*年齢階級別男女別世帯主割合!I14,0)</f>
        <v>1</v>
      </c>
      <c r="P11">
        <f>ROUND($D11*年齢階級別男女別世帯主割合!J14,0)</f>
        <v>76</v>
      </c>
      <c r="Q11">
        <f>ROUND($D11*年齢階級別男女別世帯主割合!K14,0)</f>
        <v>21</v>
      </c>
      <c r="S11" s="39" t="s">
        <v>235</v>
      </c>
      <c r="T11">
        <f t="shared" si="2"/>
        <v>219</v>
      </c>
      <c r="U11">
        <f t="shared" si="3"/>
        <v>146</v>
      </c>
      <c r="V11">
        <f t="shared" si="4"/>
        <v>332</v>
      </c>
      <c r="W11">
        <f t="shared" si="5"/>
        <v>368</v>
      </c>
      <c r="X11">
        <f t="shared" si="6"/>
        <v>119</v>
      </c>
      <c r="Y11">
        <f t="shared" si="7"/>
        <v>206</v>
      </c>
      <c r="AD11" t="str">
        <f t="shared" si="8"/>
        <v>60</v>
      </c>
      <c r="AE11" s="39" t="s">
        <v>235</v>
      </c>
      <c r="AF11">
        <f t="shared" si="9"/>
        <v>365</v>
      </c>
    </row>
    <row r="12" spans="1:32" x14ac:dyDescent="0.45">
      <c r="A12" t="str">
        <f t="shared" si="0"/>
        <v>2015年</v>
      </c>
      <c r="B12" t="str">
        <f t="shared" si="1"/>
        <v>65-69歳</v>
      </c>
      <c r="C12">
        <f>VLOOKUP(B12,人口データテーブル!$J$23:$P$38,MATCH(A12,人口データテーブル!$J$23:$P$23,0),FALSE)</f>
        <v>1371</v>
      </c>
      <c r="D12">
        <f>VLOOKUP(B12,人口データテーブル!$J$42:$P$57,MATCH(A12,人口データテーブル!$J$42:$P$42,0),FALSE)</f>
        <v>1538</v>
      </c>
      <c r="G12" s="39" t="s">
        <v>236</v>
      </c>
      <c r="H12">
        <f>ROUND($C12*年齢階級別男女別世帯主割合!B15,0)</f>
        <v>210</v>
      </c>
      <c r="I12">
        <f>ROUND($C12*年齢階級別男女別世帯主割合!C15,0)</f>
        <v>527</v>
      </c>
      <c r="J12">
        <f>ROUND($C12*年齢階級別男女別世帯主割合!D15,0)</f>
        <v>344</v>
      </c>
      <c r="K12">
        <f>ROUND($C12*年齢階級別男女別世帯主割合!E15,0)</f>
        <v>37</v>
      </c>
      <c r="L12">
        <f>ROUND($C12*年齢階級別男女別世帯主割合!F15,0)</f>
        <v>177</v>
      </c>
      <c r="M12">
        <f>ROUND($D12*年齢階級別男女別世帯主割合!G15,0)</f>
        <v>215</v>
      </c>
      <c r="N12">
        <f>ROUND($D12*年齢階級別男女別世帯主割合!H15,0)</f>
        <v>3</v>
      </c>
      <c r="O12">
        <f>ROUND($D12*年齢階級別男女別世帯主割合!I15,0)</f>
        <v>1</v>
      </c>
      <c r="P12">
        <f>ROUND($D12*年齢階級別男女別世帯主割合!J15,0)</f>
        <v>85</v>
      </c>
      <c r="Q12">
        <f>ROUND($D12*年齢階級別男女別世帯主割合!K15,0)</f>
        <v>26</v>
      </c>
      <c r="S12" s="39" t="s">
        <v>236</v>
      </c>
      <c r="T12">
        <f t="shared" si="2"/>
        <v>210</v>
      </c>
      <c r="U12">
        <f t="shared" si="3"/>
        <v>215</v>
      </c>
      <c r="V12">
        <f t="shared" si="4"/>
        <v>530</v>
      </c>
      <c r="W12">
        <f t="shared" si="5"/>
        <v>345</v>
      </c>
      <c r="X12">
        <f t="shared" si="6"/>
        <v>122</v>
      </c>
      <c r="Y12">
        <f t="shared" si="7"/>
        <v>203</v>
      </c>
      <c r="AD12" t="str">
        <f t="shared" si="8"/>
        <v>65</v>
      </c>
      <c r="AE12" s="39" t="s">
        <v>236</v>
      </c>
      <c r="AF12">
        <f t="shared" si="9"/>
        <v>425</v>
      </c>
    </row>
    <row r="13" spans="1:32" x14ac:dyDescent="0.45">
      <c r="A13" t="str">
        <f t="shared" si="0"/>
        <v>2015年</v>
      </c>
      <c r="B13" t="str">
        <f t="shared" si="1"/>
        <v>70-74歳</v>
      </c>
      <c r="C13">
        <f>VLOOKUP(B13,人口データテーブル!$J$23:$P$38,MATCH(A13,人口データテーブル!$J$23:$P$23,0),FALSE)</f>
        <v>1090</v>
      </c>
      <c r="D13">
        <f>VLOOKUP(B13,人口データテーブル!$J$42:$P$57,MATCH(A13,人口データテーブル!$J$42:$P$42,0),FALSE)</f>
        <v>1243</v>
      </c>
      <c r="G13" s="39" t="s">
        <v>237</v>
      </c>
      <c r="H13">
        <f>ROUND($C13*年齢階級別男女別世帯主割合!B16,0)</f>
        <v>133</v>
      </c>
      <c r="I13">
        <f>ROUND($C13*年齢階級別男女別世帯主割合!C16,0)</f>
        <v>505</v>
      </c>
      <c r="J13">
        <f>ROUND($C13*年齢階級別男女別世帯主割合!D16,0)</f>
        <v>243</v>
      </c>
      <c r="K13">
        <f>ROUND($C13*年齢階級別男女別世帯主割合!E16,0)</f>
        <v>26</v>
      </c>
      <c r="L13">
        <f>ROUND($C13*年齢階級別男女別世帯主割合!F16,0)</f>
        <v>117</v>
      </c>
      <c r="M13">
        <f>ROUND($D13*年齢階級別男女別世帯主割合!G16,0)</f>
        <v>223</v>
      </c>
      <c r="N13">
        <f>ROUND($D13*年齢階級別男女別世帯主割合!H16,0)</f>
        <v>2</v>
      </c>
      <c r="O13">
        <f>ROUND($D13*年齢階級別男女別世帯主割合!I16,0)</f>
        <v>1</v>
      </c>
      <c r="P13">
        <f>ROUND($D13*年齢階級別男女別世帯主割合!J16,0)</f>
        <v>71</v>
      </c>
      <c r="Q13">
        <f>ROUND($D13*年齢階級別男女別世帯主割合!K16,0)</f>
        <v>23</v>
      </c>
      <c r="S13" s="39" t="s">
        <v>237</v>
      </c>
      <c r="T13">
        <f t="shared" si="2"/>
        <v>133</v>
      </c>
      <c r="U13">
        <f t="shared" si="3"/>
        <v>223</v>
      </c>
      <c r="V13">
        <f t="shared" si="4"/>
        <v>507</v>
      </c>
      <c r="W13">
        <f t="shared" si="5"/>
        <v>244</v>
      </c>
      <c r="X13">
        <f t="shared" si="6"/>
        <v>97</v>
      </c>
      <c r="Y13">
        <f t="shared" si="7"/>
        <v>140</v>
      </c>
      <c r="AD13" t="str">
        <f t="shared" si="8"/>
        <v>70</v>
      </c>
      <c r="AE13" s="39" t="s">
        <v>237</v>
      </c>
      <c r="AF13">
        <f t="shared" si="9"/>
        <v>356</v>
      </c>
    </row>
    <row r="14" spans="1:32" x14ac:dyDescent="0.45">
      <c r="A14" t="str">
        <f t="shared" si="0"/>
        <v>2015年</v>
      </c>
      <c r="B14" t="str">
        <f t="shared" si="1"/>
        <v>75-79歳</v>
      </c>
      <c r="C14">
        <f>VLOOKUP(B14,人口データテーブル!$J$23:$P$38,MATCH(A14,人口データテーブル!$J$23:$P$23,0),FALSE)</f>
        <v>782</v>
      </c>
      <c r="D14">
        <f>VLOOKUP(B14,人口データテーブル!$J$42:$P$57,MATCH(A14,人口データテーブル!$J$42:$P$42,0),FALSE)</f>
        <v>838</v>
      </c>
      <c r="G14" s="39" t="s">
        <v>238</v>
      </c>
      <c r="H14">
        <f>ROUND($C14*年齢階級別男女別世帯主割合!B17,0)</f>
        <v>86</v>
      </c>
      <c r="I14">
        <f>ROUND($C14*年齢階級別男女別世帯主割合!C17,0)</f>
        <v>371</v>
      </c>
      <c r="J14">
        <f>ROUND($C14*年齢階級別男女別世帯主割合!D17,0)</f>
        <v>148</v>
      </c>
      <c r="K14">
        <f>ROUND($C14*年齢階級別男女別世帯主割合!E17,0)</f>
        <v>21</v>
      </c>
      <c r="L14">
        <f>ROUND($C14*年齢階級別男女別世帯主割合!F17,0)</f>
        <v>88</v>
      </c>
      <c r="M14">
        <f>ROUND($D14*年齢階級別男女別世帯主割合!G17,0)</f>
        <v>200</v>
      </c>
      <c r="N14">
        <f>ROUND($D14*年齢階級別男女別世帯主割合!H17,0)</f>
        <v>1</v>
      </c>
      <c r="O14">
        <f>ROUND($D14*年齢階級別男女別世帯主割合!I17,0)</f>
        <v>0</v>
      </c>
      <c r="P14">
        <f>ROUND($D14*年齢階級別男女別世帯主割合!J17,0)</f>
        <v>50</v>
      </c>
      <c r="Q14">
        <f>ROUND($D14*年齢階級別男女別世帯主割合!K17,0)</f>
        <v>18</v>
      </c>
      <c r="S14" s="39" t="s">
        <v>238</v>
      </c>
      <c r="T14">
        <f t="shared" si="2"/>
        <v>86</v>
      </c>
      <c r="U14">
        <f t="shared" si="3"/>
        <v>200</v>
      </c>
      <c r="V14">
        <f t="shared" si="4"/>
        <v>372</v>
      </c>
      <c r="W14">
        <f t="shared" si="5"/>
        <v>148</v>
      </c>
      <c r="X14">
        <f t="shared" si="6"/>
        <v>71</v>
      </c>
      <c r="Y14">
        <f t="shared" si="7"/>
        <v>106</v>
      </c>
      <c r="AD14" t="str">
        <f t="shared" si="8"/>
        <v>75</v>
      </c>
      <c r="AE14" s="39" t="s">
        <v>238</v>
      </c>
      <c r="AF14">
        <f t="shared" si="9"/>
        <v>286</v>
      </c>
    </row>
    <row r="15" spans="1:32" x14ac:dyDescent="0.45">
      <c r="A15" t="str">
        <f t="shared" si="0"/>
        <v>2015年</v>
      </c>
      <c r="B15" t="str">
        <f t="shared" si="1"/>
        <v>80-84歳</v>
      </c>
      <c r="C15">
        <f>VLOOKUP(B15,人口データテーブル!$J$23:$P$38,MATCH(A15,人口データテーブル!$J$23:$P$23,0),FALSE)</f>
        <v>484</v>
      </c>
      <c r="D15">
        <f>VLOOKUP(B15,人口データテーブル!$J$42:$P$57,MATCH(A15,人口データテーブル!$J$42:$P$42,0),FALSE)</f>
        <v>623</v>
      </c>
      <c r="G15" s="39" t="s">
        <v>239</v>
      </c>
      <c r="H15">
        <f>ROUND($C15*年齢階級別男女別世帯主割合!B18,0)</f>
        <v>57</v>
      </c>
      <c r="I15">
        <f>ROUND($C15*年齢階級別男女別世帯主割合!C18,0)</f>
        <v>213</v>
      </c>
      <c r="J15">
        <f>ROUND($C15*年齢階級別男女別世帯主割合!D18,0)</f>
        <v>68</v>
      </c>
      <c r="K15">
        <f>ROUND($C15*年齢階級別男女別世帯主割合!E18,0)</f>
        <v>15</v>
      </c>
      <c r="L15">
        <f>ROUND($C15*年齢階級別男女別世帯主割合!F18,0)</f>
        <v>64</v>
      </c>
      <c r="M15">
        <f>ROUND($D15*年齢階級別男女別世帯主割合!G18,0)</f>
        <v>173</v>
      </c>
      <c r="N15">
        <f>ROUND($D15*年齢階級別男女別世帯主割合!H18,0)</f>
        <v>1</v>
      </c>
      <c r="O15">
        <f>ROUND($D15*年齢階級別男女別世帯主割合!I18,0)</f>
        <v>0</v>
      </c>
      <c r="P15">
        <f>ROUND($D15*年齢階級別男女別世帯主割合!J18,0)</f>
        <v>35</v>
      </c>
      <c r="Q15">
        <f>ROUND($D15*年齢階級別男女別世帯主割合!K18,0)</f>
        <v>15</v>
      </c>
      <c r="S15" s="39" t="s">
        <v>239</v>
      </c>
      <c r="T15">
        <f t="shared" si="2"/>
        <v>57</v>
      </c>
      <c r="U15">
        <f t="shared" si="3"/>
        <v>173</v>
      </c>
      <c r="V15">
        <f t="shared" si="4"/>
        <v>214</v>
      </c>
      <c r="W15">
        <f t="shared" si="5"/>
        <v>68</v>
      </c>
      <c r="X15">
        <f t="shared" si="6"/>
        <v>50</v>
      </c>
      <c r="Y15">
        <f t="shared" si="7"/>
        <v>79</v>
      </c>
      <c r="AD15" t="str">
        <f t="shared" si="8"/>
        <v>80</v>
      </c>
      <c r="AE15" s="39" t="s">
        <v>239</v>
      </c>
      <c r="AF15">
        <f t="shared" si="9"/>
        <v>230</v>
      </c>
    </row>
    <row r="16" spans="1:32" x14ac:dyDescent="0.45">
      <c r="A16" t="str">
        <f t="shared" si="0"/>
        <v>2015年</v>
      </c>
      <c r="B16" t="str">
        <f t="shared" si="1"/>
        <v>85歳以上</v>
      </c>
      <c r="C16">
        <f>VLOOKUP(B16,人口データテーブル!$J$23:$P$38,MATCH(A16,人口データテーブル!$J$23:$P$23,0),FALSE)</f>
        <v>291</v>
      </c>
      <c r="D16">
        <f>VLOOKUP(B16,人口データテーブル!$J$42:$P$57,MATCH(A16,人口データテーブル!$J$42:$P$42,0),FALSE)</f>
        <v>689</v>
      </c>
      <c r="G16" s="39" t="s">
        <v>240</v>
      </c>
      <c r="H16">
        <f>ROUND($C16*年齢階級別男女別世帯主割合!B19,0)</f>
        <v>39</v>
      </c>
      <c r="I16">
        <f>ROUND($C16*年齢階級別男女別世帯主割合!C19,0)</f>
        <v>92</v>
      </c>
      <c r="J16">
        <f>ROUND($C16*年齢階級別男女別世帯主割合!D19,0)</f>
        <v>25</v>
      </c>
      <c r="K16">
        <f>ROUND($C16*年齢階級別男女別世帯主割合!E19,0)</f>
        <v>12</v>
      </c>
      <c r="L16">
        <f>ROUND($C16*年齢階級別男女別世帯主割合!F19,0)</f>
        <v>47</v>
      </c>
      <c r="M16">
        <f>ROUND($D16*年齢階級別男女別世帯主割合!G19,0)</f>
        <v>147</v>
      </c>
      <c r="N16">
        <f>ROUND($D16*年齢階級別男女別世帯主割合!H19,0)</f>
        <v>0</v>
      </c>
      <c r="O16">
        <f>ROUND($D16*年齢階級別男女別世帯主割合!I19,0)</f>
        <v>0</v>
      </c>
      <c r="P16">
        <f>ROUND($D16*年齢階級別男女別世帯主割合!J19,0)</f>
        <v>29</v>
      </c>
      <c r="Q16">
        <f>ROUND($D16*年齢階級別男女別世帯主割合!K19,0)</f>
        <v>15</v>
      </c>
      <c r="S16" s="39" t="s">
        <v>240</v>
      </c>
      <c r="T16">
        <f t="shared" si="2"/>
        <v>39</v>
      </c>
      <c r="U16">
        <f t="shared" si="3"/>
        <v>147</v>
      </c>
      <c r="V16">
        <f t="shared" si="4"/>
        <v>92</v>
      </c>
      <c r="W16">
        <f t="shared" si="5"/>
        <v>25</v>
      </c>
      <c r="X16">
        <f t="shared" si="6"/>
        <v>41</v>
      </c>
      <c r="Y16">
        <f t="shared" si="7"/>
        <v>62</v>
      </c>
      <c r="AD16" t="str">
        <f t="shared" si="8"/>
        <v>85</v>
      </c>
      <c r="AE16" s="39" t="s">
        <v>240</v>
      </c>
      <c r="AF16">
        <f t="shared" si="9"/>
        <v>186</v>
      </c>
    </row>
    <row r="17" spans="1:32" x14ac:dyDescent="0.45">
      <c r="A17" t="str">
        <f t="shared" si="0"/>
        <v>2020年</v>
      </c>
      <c r="B17" t="str">
        <f t="shared" si="1"/>
        <v>20歳未満</v>
      </c>
      <c r="C17">
        <f>VLOOKUP(B17,人口データテーブル!$J$23:$P$38,MATCH(A17,人口データテーブル!$J$23:$P$23,0),FALSE)</f>
        <v>7401</v>
      </c>
      <c r="D17">
        <f>VLOOKUP(B17,人口データテーブル!$J$42:$P$57,MATCH(A17,人口データテーブル!$J$42:$P$42,0),FALSE)</f>
        <v>7186</v>
      </c>
      <c r="F17" t="s">
        <v>225</v>
      </c>
      <c r="G17" s="40" t="s">
        <v>241</v>
      </c>
      <c r="H17">
        <f>ROUND($C17*年齢階級別男女別世帯主割合!B21,0)</f>
        <v>158</v>
      </c>
      <c r="I17">
        <f>ROUND($C17*年齢階級別男女別世帯主割合!C21,0)</f>
        <v>1</v>
      </c>
      <c r="J17">
        <f>ROUND($C17*年齢階級別男女別世帯主割合!D21,0)</f>
        <v>1</v>
      </c>
      <c r="K17">
        <f>ROUND($C17*年齢階級別男女別世帯主割合!E21,0)</f>
        <v>0</v>
      </c>
      <c r="L17">
        <f>ROUND($C17*年齢階級別男女別世帯主割合!F21,0)</f>
        <v>1</v>
      </c>
      <c r="M17">
        <f>ROUND($D17*年齢階級別男女別世帯主割合!G21,0)</f>
        <v>92</v>
      </c>
      <c r="N17">
        <f>ROUND($D17*年齢階級別男女別世帯主割合!H21,0)</f>
        <v>0</v>
      </c>
      <c r="O17">
        <f>ROUND($D17*年齢階級別男女別世帯主割合!I21,0)</f>
        <v>0</v>
      </c>
      <c r="P17">
        <f>ROUND($D17*年齢階級別男女別世帯主割合!J21,0)</f>
        <v>1</v>
      </c>
      <c r="Q17">
        <f>ROUND($D17*年齢階級別男女別世帯主割合!K21,0)</f>
        <v>1</v>
      </c>
      <c r="S17" s="40" t="s">
        <v>241</v>
      </c>
      <c r="T17">
        <f t="shared" si="2"/>
        <v>158</v>
      </c>
      <c r="U17">
        <f t="shared" si="3"/>
        <v>92</v>
      </c>
      <c r="V17">
        <f t="shared" si="4"/>
        <v>1</v>
      </c>
      <c r="W17">
        <f t="shared" si="5"/>
        <v>1</v>
      </c>
      <c r="X17">
        <f t="shared" si="6"/>
        <v>1</v>
      </c>
      <c r="Y17">
        <f t="shared" si="7"/>
        <v>2</v>
      </c>
      <c r="AD17" t="str">
        <f t="shared" si="8"/>
        <v>20</v>
      </c>
      <c r="AE17" s="40" t="s">
        <v>241</v>
      </c>
      <c r="AF17">
        <f t="shared" si="9"/>
        <v>250</v>
      </c>
    </row>
    <row r="18" spans="1:32" x14ac:dyDescent="0.45">
      <c r="A18" t="str">
        <f t="shared" si="0"/>
        <v>2020年</v>
      </c>
      <c r="B18" t="str">
        <f t="shared" si="1"/>
        <v>20-24歳</v>
      </c>
      <c r="C18">
        <f>VLOOKUP(B18,人口データテーブル!$J$23:$P$38,MATCH(A18,人口データテーブル!$J$23:$P$23,0),FALSE)</f>
        <v>2679</v>
      </c>
      <c r="D18">
        <f>VLOOKUP(B18,人口データテーブル!$J$42:$P$57,MATCH(A18,人口データテーブル!$J$42:$P$42,0),FALSE)</f>
        <v>2586</v>
      </c>
      <c r="F18" t="s">
        <v>225</v>
      </c>
      <c r="G18" s="40" t="s">
        <v>242</v>
      </c>
      <c r="H18">
        <f>ROUND($C18*年齢階級別男女別世帯主割合!B22,0)</f>
        <v>845</v>
      </c>
      <c r="I18">
        <f>ROUND($C18*年齢階級別男女別世帯主割合!C22,0)</f>
        <v>32</v>
      </c>
      <c r="J18">
        <f>ROUND($C18*年齢階級別男女別世帯主割合!D22,0)</f>
        <v>51</v>
      </c>
      <c r="K18">
        <f>ROUND($C18*年齢階級別男女別世帯主割合!E22,0)</f>
        <v>5</v>
      </c>
      <c r="L18">
        <f>ROUND($C18*年齢階級別男女別世帯主割合!F22,0)</f>
        <v>25</v>
      </c>
      <c r="M18">
        <f>ROUND($D18*年齢階級別男女別世帯主割合!G22,0)</f>
        <v>513</v>
      </c>
      <c r="N18">
        <f>ROUND($D18*年齢階級別男女別世帯主割合!H22,0)</f>
        <v>2</v>
      </c>
      <c r="O18">
        <f>ROUND($D18*年齢階級別男女別世帯主割合!I22,0)</f>
        <v>1</v>
      </c>
      <c r="P18">
        <f>ROUND($D18*年齢階級別男女別世帯主割合!J22,0)</f>
        <v>17</v>
      </c>
      <c r="Q18">
        <f>ROUND($D18*年齢階級別男女別世帯主割合!K22,0)</f>
        <v>18</v>
      </c>
      <c r="S18" s="40" t="s">
        <v>242</v>
      </c>
      <c r="T18">
        <f t="shared" si="2"/>
        <v>845</v>
      </c>
      <c r="U18">
        <f t="shared" si="3"/>
        <v>513</v>
      </c>
      <c r="V18">
        <f t="shared" si="4"/>
        <v>34</v>
      </c>
      <c r="W18">
        <f t="shared" si="5"/>
        <v>52</v>
      </c>
      <c r="X18">
        <f t="shared" si="6"/>
        <v>22</v>
      </c>
      <c r="Y18">
        <f t="shared" si="7"/>
        <v>43</v>
      </c>
      <c r="AD18" t="str">
        <f t="shared" si="8"/>
        <v>20</v>
      </c>
      <c r="AE18" s="40" t="s">
        <v>242</v>
      </c>
      <c r="AF18">
        <f t="shared" si="9"/>
        <v>1358</v>
      </c>
    </row>
    <row r="19" spans="1:32" x14ac:dyDescent="0.45">
      <c r="A19" t="str">
        <f t="shared" si="0"/>
        <v>2020年</v>
      </c>
      <c r="B19" t="str">
        <f t="shared" si="1"/>
        <v>25-29歳</v>
      </c>
      <c r="C19">
        <f>VLOOKUP(B19,人口データテーブル!$J$23:$P$38,MATCH(A19,人口データテーブル!$J$23:$P$23,0),FALSE)</f>
        <v>1501</v>
      </c>
      <c r="D19">
        <f>VLOOKUP(B19,人口データテーブル!$J$42:$P$57,MATCH(A19,人口データテーブル!$J$42:$P$42,0),FALSE)</f>
        <v>1732</v>
      </c>
      <c r="F19" t="s">
        <v>225</v>
      </c>
      <c r="G19" s="40" t="s">
        <v>243</v>
      </c>
      <c r="H19">
        <f>ROUND($C19*年齢階級別男女別世帯主割合!B23,0)</f>
        <v>515</v>
      </c>
      <c r="I19">
        <f>ROUND($C19*年齢階級別男女別世帯主割合!C23,0)</f>
        <v>139</v>
      </c>
      <c r="J19">
        <f>ROUND($C19*年齢階級別男女別世帯主割合!D23,0)</f>
        <v>169</v>
      </c>
      <c r="K19">
        <f>ROUND($C19*年齢階級別男女別世帯主割合!E23,0)</f>
        <v>7</v>
      </c>
      <c r="L19">
        <f>ROUND($C19*年齢階級別男女別世帯主割合!F23,0)</f>
        <v>28</v>
      </c>
      <c r="M19">
        <f>ROUND($D19*年齢階級別男女別世帯主割合!G23,0)</f>
        <v>308</v>
      </c>
      <c r="N19">
        <f>ROUND($D19*年齢階級別男女別世帯主割合!H23,0)</f>
        <v>8</v>
      </c>
      <c r="O19">
        <f>ROUND($D19*年齢階級別男女別世帯主割合!I23,0)</f>
        <v>5</v>
      </c>
      <c r="P19">
        <f>ROUND($D19*年齢階級別男女別世帯主割合!J23,0)</f>
        <v>42</v>
      </c>
      <c r="Q19">
        <f>ROUND($D19*年齢階級別男女別世帯主割合!K23,0)</f>
        <v>13</v>
      </c>
      <c r="S19" s="40" t="s">
        <v>243</v>
      </c>
      <c r="T19">
        <f t="shared" si="2"/>
        <v>515</v>
      </c>
      <c r="U19">
        <f t="shared" si="3"/>
        <v>308</v>
      </c>
      <c r="V19">
        <f t="shared" si="4"/>
        <v>147</v>
      </c>
      <c r="W19">
        <f t="shared" si="5"/>
        <v>174</v>
      </c>
      <c r="X19">
        <f t="shared" si="6"/>
        <v>49</v>
      </c>
      <c r="Y19">
        <f t="shared" si="7"/>
        <v>41</v>
      </c>
      <c r="AD19" t="str">
        <f t="shared" si="8"/>
        <v>25</v>
      </c>
      <c r="AE19" s="40" t="s">
        <v>243</v>
      </c>
      <c r="AF19">
        <f t="shared" si="9"/>
        <v>823</v>
      </c>
    </row>
    <row r="20" spans="1:32" x14ac:dyDescent="0.45">
      <c r="A20" t="str">
        <f t="shared" si="0"/>
        <v>2020年</v>
      </c>
      <c r="B20" t="str">
        <f t="shared" si="1"/>
        <v>30-34歳</v>
      </c>
      <c r="C20">
        <f>VLOOKUP(B20,人口データテーブル!$J$23:$P$38,MATCH(A20,人口データテーブル!$J$23:$P$23,0),FALSE)</f>
        <v>1814</v>
      </c>
      <c r="D20">
        <f>VLOOKUP(B20,人口データテーブル!$J$42:$P$57,MATCH(A20,人口データテーブル!$J$42:$P$42,0),FALSE)</f>
        <v>2012</v>
      </c>
      <c r="F20" t="s">
        <v>225</v>
      </c>
      <c r="G20" s="40" t="s">
        <v>244</v>
      </c>
      <c r="H20">
        <f>ROUND($C20*年齢階級別男女別世帯主割合!B24,0)</f>
        <v>457</v>
      </c>
      <c r="I20">
        <f>ROUND($C20*年齢階級別男女別世帯主割合!C24,0)</f>
        <v>217</v>
      </c>
      <c r="J20">
        <f>ROUND($C20*年齢階級別男女別世帯主割合!D24,0)</f>
        <v>568</v>
      </c>
      <c r="K20">
        <f>ROUND($C20*年齢階級別男女別世帯主割合!E24,0)</f>
        <v>13</v>
      </c>
      <c r="L20">
        <f>ROUND($C20*年齢階級別男女別世帯主割合!F24,0)</f>
        <v>40</v>
      </c>
      <c r="M20">
        <f>ROUND($D20*年齢階級別男女別世帯主割合!G24,0)</f>
        <v>225</v>
      </c>
      <c r="N20">
        <f>ROUND($D20*年齢階級別男女別世帯主割合!H24,0)</f>
        <v>9</v>
      </c>
      <c r="O20">
        <f>ROUND($D20*年齢階級別男女別世帯主割合!I24,0)</f>
        <v>11</v>
      </c>
      <c r="P20">
        <f>ROUND($D20*年齢階級別男女別世帯主割合!J24,0)</f>
        <v>89</v>
      </c>
      <c r="Q20">
        <f>ROUND($D20*年齢階級別男女別世帯主割合!K24,0)</f>
        <v>12</v>
      </c>
      <c r="S20" s="40" t="s">
        <v>244</v>
      </c>
      <c r="T20">
        <f t="shared" si="2"/>
        <v>457</v>
      </c>
      <c r="U20">
        <f t="shared" si="3"/>
        <v>225</v>
      </c>
      <c r="V20">
        <f t="shared" si="4"/>
        <v>226</v>
      </c>
      <c r="W20">
        <f t="shared" si="5"/>
        <v>579</v>
      </c>
      <c r="X20">
        <f t="shared" si="6"/>
        <v>102</v>
      </c>
      <c r="Y20">
        <f t="shared" si="7"/>
        <v>52</v>
      </c>
      <c r="AD20" t="str">
        <f t="shared" si="8"/>
        <v>30</v>
      </c>
      <c r="AE20" s="40" t="s">
        <v>244</v>
      </c>
      <c r="AF20">
        <f t="shared" si="9"/>
        <v>682</v>
      </c>
    </row>
    <row r="21" spans="1:32" x14ac:dyDescent="0.45">
      <c r="A21" t="str">
        <f t="shared" si="0"/>
        <v>2020年</v>
      </c>
      <c r="B21" t="str">
        <f t="shared" si="1"/>
        <v>35-39歳</v>
      </c>
      <c r="C21">
        <f>VLOOKUP(B21,人口データテーブル!$J$23:$P$38,MATCH(A21,人口データテーブル!$J$23:$P$23,0),FALSE)</f>
        <v>2260</v>
      </c>
      <c r="D21">
        <f>VLOOKUP(B21,人口データテーブル!$J$42:$P$57,MATCH(A21,人口データテーブル!$J$42:$P$42,0),FALSE)</f>
        <v>2384</v>
      </c>
      <c r="F21" t="s">
        <v>225</v>
      </c>
      <c r="G21" s="40" t="s">
        <v>245</v>
      </c>
      <c r="H21">
        <f>ROUND($C21*年齢階級別男女別世帯主割合!B25,0)</f>
        <v>448</v>
      </c>
      <c r="I21">
        <f>ROUND($C21*年齢階級別男女別世帯主割合!C25,0)</f>
        <v>198</v>
      </c>
      <c r="J21">
        <f>ROUND($C21*年齢階級別男女別世帯主割合!D25,0)</f>
        <v>987</v>
      </c>
      <c r="K21">
        <f>ROUND($C21*年齢階級別男女別世帯主割合!E25,0)</f>
        <v>27</v>
      </c>
      <c r="L21">
        <f>ROUND($C21*年齢階級別男女別世帯主割合!F25,0)</f>
        <v>68</v>
      </c>
      <c r="M21">
        <f>ROUND($D21*年齢階級別男女別世帯主割合!G25,0)</f>
        <v>204</v>
      </c>
      <c r="N21">
        <f>ROUND($D21*年齢階級別男女別世帯主割合!H25,0)</f>
        <v>6</v>
      </c>
      <c r="O21">
        <f>ROUND($D21*年齢階級別男女別世帯主割合!I25,0)</f>
        <v>12</v>
      </c>
      <c r="P21">
        <f>ROUND($D21*年齢階級別男女別世帯主割合!J25,0)</f>
        <v>140</v>
      </c>
      <c r="Q21">
        <f>ROUND($D21*年齢階級別男女別世帯主割合!K25,0)</f>
        <v>17</v>
      </c>
      <c r="S21" s="40" t="s">
        <v>245</v>
      </c>
      <c r="T21">
        <f t="shared" si="2"/>
        <v>448</v>
      </c>
      <c r="U21">
        <f t="shared" si="3"/>
        <v>204</v>
      </c>
      <c r="V21">
        <f t="shared" si="4"/>
        <v>204</v>
      </c>
      <c r="W21">
        <f t="shared" si="5"/>
        <v>999</v>
      </c>
      <c r="X21">
        <f t="shared" si="6"/>
        <v>167</v>
      </c>
      <c r="Y21">
        <f t="shared" si="7"/>
        <v>85</v>
      </c>
      <c r="AD21" t="str">
        <f t="shared" si="8"/>
        <v>35</v>
      </c>
      <c r="AE21" s="40" t="s">
        <v>245</v>
      </c>
      <c r="AF21">
        <f t="shared" si="9"/>
        <v>652</v>
      </c>
    </row>
    <row r="22" spans="1:32" x14ac:dyDescent="0.45">
      <c r="A22" t="str">
        <f t="shared" si="0"/>
        <v>2020年</v>
      </c>
      <c r="B22" t="str">
        <f t="shared" si="1"/>
        <v>40-44歳</v>
      </c>
      <c r="C22">
        <f>VLOOKUP(B22,人口データテーブル!$J$23:$P$38,MATCH(A22,人口データテーブル!$J$23:$P$23,0),FALSE)</f>
        <v>2531</v>
      </c>
      <c r="D22">
        <f>VLOOKUP(B22,人口データテーブル!$J$42:$P$57,MATCH(A22,人口データテーブル!$J$42:$P$42,0),FALSE)</f>
        <v>2521</v>
      </c>
      <c r="F22" t="s">
        <v>225</v>
      </c>
      <c r="G22" s="40" t="s">
        <v>246</v>
      </c>
      <c r="H22">
        <f>ROUND($C22*年齢階級別男女別世帯主割合!B26,0)</f>
        <v>450</v>
      </c>
      <c r="I22">
        <f>ROUND($C22*年齢階級別男女別世帯主割合!C26,0)</f>
        <v>203</v>
      </c>
      <c r="J22">
        <f>ROUND($C22*年齢階級別男女別世帯主割合!D26,0)</f>
        <v>1196</v>
      </c>
      <c r="K22">
        <f>ROUND($C22*年齢階級別男女別世帯主割合!E26,0)</f>
        <v>66</v>
      </c>
      <c r="L22">
        <f>ROUND($C22*年齢階級別男女別世帯主割合!F26,0)</f>
        <v>116</v>
      </c>
      <c r="M22">
        <f>ROUND($D22*年齢階級別男女別世帯主割合!G26,0)</f>
        <v>197</v>
      </c>
      <c r="N22">
        <f>ROUND($D22*年齢階級別男女別世帯主割合!H26,0)</f>
        <v>5</v>
      </c>
      <c r="O22">
        <f>ROUND($D22*年齢階級別男女別世帯主割合!I26,0)</f>
        <v>12</v>
      </c>
      <c r="P22">
        <f>ROUND($D22*年齢階級別男女別世帯主割合!J26,0)</f>
        <v>199</v>
      </c>
      <c r="Q22">
        <f>ROUND($D22*年齢階級別男女別世帯主割合!K26,0)</f>
        <v>22</v>
      </c>
      <c r="S22" s="40" t="s">
        <v>246</v>
      </c>
      <c r="T22">
        <f t="shared" si="2"/>
        <v>450</v>
      </c>
      <c r="U22">
        <f t="shared" si="3"/>
        <v>197</v>
      </c>
      <c r="V22">
        <f t="shared" si="4"/>
        <v>208</v>
      </c>
      <c r="W22">
        <f t="shared" si="5"/>
        <v>1208</v>
      </c>
      <c r="X22">
        <f t="shared" si="6"/>
        <v>265</v>
      </c>
      <c r="Y22">
        <f t="shared" si="7"/>
        <v>138</v>
      </c>
      <c r="AD22" t="str">
        <f t="shared" si="8"/>
        <v>40</v>
      </c>
      <c r="AE22" s="40" t="s">
        <v>246</v>
      </c>
      <c r="AF22">
        <f t="shared" si="9"/>
        <v>647</v>
      </c>
    </row>
    <row r="23" spans="1:32" x14ac:dyDescent="0.45">
      <c r="A23" t="str">
        <f t="shared" si="0"/>
        <v>2020年</v>
      </c>
      <c r="B23" t="str">
        <f t="shared" si="1"/>
        <v>45-49歳</v>
      </c>
      <c r="C23">
        <f>VLOOKUP(B23,人口データテーブル!$J$23:$P$38,MATCH(A23,人口データテーブル!$J$23:$P$23,0),FALSE)</f>
        <v>2553</v>
      </c>
      <c r="D23">
        <f>VLOOKUP(B23,人口データテーブル!$J$42:$P$57,MATCH(A23,人口データテーブル!$J$42:$P$42,0),FALSE)</f>
        <v>2666</v>
      </c>
      <c r="F23" t="s">
        <v>225</v>
      </c>
      <c r="G23" s="40" t="s">
        <v>247</v>
      </c>
      <c r="H23">
        <f>ROUND($C23*年齢階級別男女別世帯主割合!B27,0)</f>
        <v>459</v>
      </c>
      <c r="I23">
        <f>ROUND($C23*年齢階級別男女別世帯主割合!C27,0)</f>
        <v>232</v>
      </c>
      <c r="J23">
        <f>ROUND($C23*年齢階級別男女別世帯主割合!D27,0)</f>
        <v>1172</v>
      </c>
      <c r="K23">
        <f>ROUND($C23*年齢階級別男女別世帯主割合!E27,0)</f>
        <v>82</v>
      </c>
      <c r="L23">
        <f>ROUND($C23*年齢階級別男女別世帯主割合!F27,0)</f>
        <v>154</v>
      </c>
      <c r="M23">
        <f>ROUND($D23*年齢階級別男女別世帯主割合!G27,0)</f>
        <v>227</v>
      </c>
      <c r="N23">
        <f>ROUND($D23*年齢階級別男女別世帯主割合!H27,0)</f>
        <v>6</v>
      </c>
      <c r="O23">
        <f>ROUND($D23*年齢階級別男女別世帯主割合!I27,0)</f>
        <v>10</v>
      </c>
      <c r="P23">
        <f>ROUND($D23*年齢階級別男女別世帯主割合!J27,0)</f>
        <v>244</v>
      </c>
      <c r="Q23">
        <f>ROUND($D23*年齢階級別男女別世帯主割合!K27,0)</f>
        <v>37</v>
      </c>
      <c r="S23" s="40" t="s">
        <v>247</v>
      </c>
      <c r="T23">
        <f t="shared" si="2"/>
        <v>459</v>
      </c>
      <c r="U23">
        <f t="shared" si="3"/>
        <v>227</v>
      </c>
      <c r="V23">
        <f t="shared" si="4"/>
        <v>238</v>
      </c>
      <c r="W23">
        <f t="shared" si="5"/>
        <v>1182</v>
      </c>
      <c r="X23">
        <f t="shared" si="6"/>
        <v>326</v>
      </c>
      <c r="Y23">
        <f t="shared" si="7"/>
        <v>191</v>
      </c>
      <c r="AD23" t="str">
        <f t="shared" si="8"/>
        <v>45</v>
      </c>
      <c r="AE23" s="40" t="s">
        <v>247</v>
      </c>
      <c r="AF23">
        <f t="shared" si="9"/>
        <v>686</v>
      </c>
    </row>
    <row r="24" spans="1:32" x14ac:dyDescent="0.45">
      <c r="A24" t="str">
        <f t="shared" si="0"/>
        <v>2020年</v>
      </c>
      <c r="B24" t="str">
        <f t="shared" si="1"/>
        <v>50-54歳</v>
      </c>
      <c r="C24">
        <f>VLOOKUP(B24,人口データテーブル!$J$23:$P$38,MATCH(A24,人口データテーブル!$J$23:$P$23,0),FALSE)</f>
        <v>2086</v>
      </c>
      <c r="D24">
        <f>VLOOKUP(B24,人口データテーブル!$J$42:$P$57,MATCH(A24,人口データテーブル!$J$42:$P$42,0),FALSE)</f>
        <v>2038</v>
      </c>
      <c r="F24" t="s">
        <v>225</v>
      </c>
      <c r="G24" s="40" t="s">
        <v>248</v>
      </c>
      <c r="H24">
        <f>ROUND($C24*年齢階級別男女別世帯主割合!B28,0)</f>
        <v>404</v>
      </c>
      <c r="I24">
        <f>ROUND($C24*年齢階級別男女別世帯主割合!C28,0)</f>
        <v>242</v>
      </c>
      <c r="J24">
        <f>ROUND($C24*年齢階級別男女別世帯主割合!D28,0)</f>
        <v>860</v>
      </c>
      <c r="K24">
        <f>ROUND($C24*年齢階級別男女別世帯主割合!E28,0)</f>
        <v>91</v>
      </c>
      <c r="L24">
        <f>ROUND($C24*年齢階級別男女別世帯主割合!F28,0)</f>
        <v>176</v>
      </c>
      <c r="M24">
        <f>ROUND($D24*年齢階級別男女別世帯主割合!G28,0)</f>
        <v>198</v>
      </c>
      <c r="N24">
        <f>ROUND($D24*年齢階級別男女別世帯主割合!H28,0)</f>
        <v>5</v>
      </c>
      <c r="O24">
        <f>ROUND($D24*年齢階級別男女別世帯主割合!I28,0)</f>
        <v>6</v>
      </c>
      <c r="P24">
        <f>ROUND($D24*年齢階級別男女別世帯主割合!J28,0)</f>
        <v>184</v>
      </c>
      <c r="Q24">
        <f>ROUND($D24*年齢階級別男女別世帯主割合!K28,0)</f>
        <v>30</v>
      </c>
      <c r="S24" s="40" t="s">
        <v>248</v>
      </c>
      <c r="T24">
        <f t="shared" si="2"/>
        <v>404</v>
      </c>
      <c r="U24">
        <f t="shared" si="3"/>
        <v>198</v>
      </c>
      <c r="V24">
        <f t="shared" si="4"/>
        <v>247</v>
      </c>
      <c r="W24">
        <f t="shared" si="5"/>
        <v>866</v>
      </c>
      <c r="X24">
        <f t="shared" si="6"/>
        <v>275</v>
      </c>
      <c r="Y24">
        <f t="shared" si="7"/>
        <v>206</v>
      </c>
      <c r="AD24" t="str">
        <f t="shared" si="8"/>
        <v>50</v>
      </c>
      <c r="AE24" s="40" t="s">
        <v>248</v>
      </c>
      <c r="AF24">
        <f t="shared" si="9"/>
        <v>602</v>
      </c>
    </row>
    <row r="25" spans="1:32" x14ac:dyDescent="0.45">
      <c r="A25" t="str">
        <f t="shared" si="0"/>
        <v>2020年</v>
      </c>
      <c r="B25" t="str">
        <f t="shared" si="1"/>
        <v>55-59歳</v>
      </c>
      <c r="C25">
        <f>VLOOKUP(B25,人口データテーブル!$J$23:$P$38,MATCH(A25,人口データテーブル!$J$23:$P$23,0),FALSE)</f>
        <v>1631</v>
      </c>
      <c r="D25">
        <f>VLOOKUP(B25,人口データテーブル!$J$42:$P$57,MATCH(A25,人口データテーブル!$J$42:$P$42,0),FALSE)</f>
        <v>1658</v>
      </c>
      <c r="F25" t="s">
        <v>225</v>
      </c>
      <c r="G25" s="40" t="s">
        <v>249</v>
      </c>
      <c r="H25">
        <f>ROUND($C25*年齢階級別男女別世帯主割合!B29,0)</f>
        <v>336</v>
      </c>
      <c r="I25">
        <f>ROUND($C25*年齢階級別男女別世帯主割合!C29,0)</f>
        <v>288</v>
      </c>
      <c r="J25">
        <f>ROUND($C25*年齢階級別男女別世帯主割合!D29,0)</f>
        <v>571</v>
      </c>
      <c r="K25">
        <f>ROUND($C25*年齢階級別男女別世帯主割合!E29,0)</f>
        <v>84</v>
      </c>
      <c r="L25">
        <f>ROUND($C25*年齢階級別男女別世帯主割合!F29,0)</f>
        <v>193</v>
      </c>
      <c r="M25">
        <f>ROUND($D25*年齢階級別男女別世帯主割合!G29,0)</f>
        <v>182</v>
      </c>
      <c r="N25">
        <f>ROUND($D25*年齢階級別男女別世帯主割合!H29,0)</f>
        <v>4</v>
      </c>
      <c r="O25">
        <f>ROUND($D25*年齢階級別男女別世帯主割合!I29,0)</f>
        <v>3</v>
      </c>
      <c r="P25">
        <f>ROUND($D25*年齢階級別男女別世帯主割合!J29,0)</f>
        <v>122</v>
      </c>
      <c r="Q25">
        <f>ROUND($D25*年齢階級別男女別世帯主割合!K29,0)</f>
        <v>28</v>
      </c>
      <c r="S25" s="40" t="s">
        <v>249</v>
      </c>
      <c r="T25">
        <f t="shared" si="2"/>
        <v>336</v>
      </c>
      <c r="U25">
        <f t="shared" si="3"/>
        <v>182</v>
      </c>
      <c r="V25">
        <f t="shared" si="4"/>
        <v>292</v>
      </c>
      <c r="W25">
        <f t="shared" si="5"/>
        <v>574</v>
      </c>
      <c r="X25">
        <f t="shared" si="6"/>
        <v>206</v>
      </c>
      <c r="Y25">
        <f t="shared" si="7"/>
        <v>221</v>
      </c>
      <c r="AD25" t="str">
        <f t="shared" si="8"/>
        <v>55</v>
      </c>
      <c r="AE25" s="40" t="s">
        <v>249</v>
      </c>
      <c r="AF25">
        <f t="shared" si="9"/>
        <v>518</v>
      </c>
    </row>
    <row r="26" spans="1:32" x14ac:dyDescent="0.45">
      <c r="A26" t="str">
        <f t="shared" si="0"/>
        <v>2020年</v>
      </c>
      <c r="B26" t="str">
        <f t="shared" si="1"/>
        <v>60-64歳</v>
      </c>
      <c r="C26">
        <f>VLOOKUP(B26,人口データテーブル!$J$23:$P$38,MATCH(A26,人口データテーブル!$J$23:$P$23,0),FALSE)</f>
        <v>1218</v>
      </c>
      <c r="D26">
        <f>VLOOKUP(B26,人口データテーブル!$J$42:$P$57,MATCH(A26,人口データテーブル!$J$42:$P$42,0),FALSE)</f>
        <v>1285</v>
      </c>
      <c r="F26" t="s">
        <v>225</v>
      </c>
      <c r="G26" s="40" t="s">
        <v>250</v>
      </c>
      <c r="H26">
        <f>ROUND($C26*年齢階級別男女別世帯主割合!B30,0)</f>
        <v>241</v>
      </c>
      <c r="I26">
        <f>ROUND($C26*年齢階級別男女別世帯主割合!C30,0)</f>
        <v>322</v>
      </c>
      <c r="J26">
        <f>ROUND($C26*年齢階級別男女別世帯主割合!D30,0)</f>
        <v>349</v>
      </c>
      <c r="K26">
        <f>ROUND($C26*年齢階級別男女別世帯主割合!E30,0)</f>
        <v>54</v>
      </c>
      <c r="L26">
        <f>ROUND($C26*年齢階級別男女別世帯主割合!F30,0)</f>
        <v>165</v>
      </c>
      <c r="M26">
        <f>ROUND($D26*年齢階級別男女別世帯主割合!G30,0)</f>
        <v>156</v>
      </c>
      <c r="N26">
        <f>ROUND($D26*年齢階級別男女別世帯主割合!H30,0)</f>
        <v>3</v>
      </c>
      <c r="O26">
        <f>ROUND($D26*年齢階級別男女別世帯主割合!I30,0)</f>
        <v>2</v>
      </c>
      <c r="P26">
        <f>ROUND($D26*年齢階級別男女別世帯主割合!J30,0)</f>
        <v>79</v>
      </c>
      <c r="Q26">
        <f>ROUND($D26*年齢階級別男女別世帯主割合!K30,0)</f>
        <v>20</v>
      </c>
      <c r="S26" s="40" t="s">
        <v>250</v>
      </c>
      <c r="T26">
        <f t="shared" si="2"/>
        <v>241</v>
      </c>
      <c r="U26">
        <f t="shared" si="3"/>
        <v>156</v>
      </c>
      <c r="V26">
        <f t="shared" si="4"/>
        <v>325</v>
      </c>
      <c r="W26">
        <f t="shared" si="5"/>
        <v>351</v>
      </c>
      <c r="X26">
        <f t="shared" si="6"/>
        <v>133</v>
      </c>
      <c r="Y26">
        <f t="shared" si="7"/>
        <v>185</v>
      </c>
      <c r="AD26" t="str">
        <f t="shared" si="8"/>
        <v>60</v>
      </c>
      <c r="AE26" s="40" t="s">
        <v>250</v>
      </c>
      <c r="AF26">
        <f t="shared" si="9"/>
        <v>397</v>
      </c>
    </row>
    <row r="27" spans="1:32" x14ac:dyDescent="0.45">
      <c r="A27" t="str">
        <f t="shared" si="0"/>
        <v>2020年</v>
      </c>
      <c r="B27" t="str">
        <f t="shared" si="1"/>
        <v>65-69歳</v>
      </c>
      <c r="C27">
        <f>VLOOKUP(B27,人口データテーブル!$J$23:$P$38,MATCH(A27,人口データテーブル!$J$23:$P$23,0),FALSE)</f>
        <v>1186</v>
      </c>
      <c r="D27">
        <f>VLOOKUP(B27,人口データテーブル!$J$42:$P$57,MATCH(A27,人口データテーブル!$J$42:$P$42,0),FALSE)</f>
        <v>1340</v>
      </c>
      <c r="G27" s="40" t="s">
        <v>251</v>
      </c>
      <c r="H27">
        <f>ROUND($C27*年齢階級別男女別世帯主割合!B31,0)</f>
        <v>209</v>
      </c>
      <c r="I27">
        <f>ROUND($C27*年齢階級別男女別世帯主割合!C31,0)</f>
        <v>439</v>
      </c>
      <c r="J27">
        <f>ROUND($C27*年齢階級別男女別世帯主割合!D31,0)</f>
        <v>283</v>
      </c>
      <c r="K27">
        <f>ROUND($C27*年齢階級別男女別世帯主割合!E31,0)</f>
        <v>37</v>
      </c>
      <c r="L27">
        <f>ROUND($C27*年齢階級別男女別世帯主割合!F31,0)</f>
        <v>143</v>
      </c>
      <c r="M27">
        <f>ROUND($D27*年齢階級別男女別世帯主割合!G31,0)</f>
        <v>189</v>
      </c>
      <c r="N27">
        <f>ROUND($D27*年齢階級別男女別世帯主割合!H31,0)</f>
        <v>3</v>
      </c>
      <c r="O27">
        <f>ROUND($D27*年齢階級別男女別世帯主割合!I31,0)</f>
        <v>1</v>
      </c>
      <c r="P27">
        <f>ROUND($D27*年齢階級別男女別世帯主割合!J31,0)</f>
        <v>76</v>
      </c>
      <c r="Q27">
        <f>ROUND($D27*年齢階級別男女別世帯主割合!K31,0)</f>
        <v>21</v>
      </c>
      <c r="S27" s="40" t="s">
        <v>251</v>
      </c>
      <c r="T27">
        <f t="shared" si="2"/>
        <v>209</v>
      </c>
      <c r="U27">
        <f t="shared" si="3"/>
        <v>189</v>
      </c>
      <c r="V27">
        <f t="shared" si="4"/>
        <v>442</v>
      </c>
      <c r="W27">
        <f t="shared" si="5"/>
        <v>284</v>
      </c>
      <c r="X27">
        <f t="shared" si="6"/>
        <v>113</v>
      </c>
      <c r="Y27">
        <f t="shared" si="7"/>
        <v>164</v>
      </c>
      <c r="AD27" t="str">
        <f t="shared" si="8"/>
        <v>65</v>
      </c>
      <c r="AE27" s="40" t="s">
        <v>251</v>
      </c>
      <c r="AF27">
        <f t="shared" si="9"/>
        <v>398</v>
      </c>
    </row>
    <row r="28" spans="1:32" x14ac:dyDescent="0.45">
      <c r="A28" t="str">
        <f t="shared" si="0"/>
        <v>2020年</v>
      </c>
      <c r="B28" t="str">
        <f t="shared" si="1"/>
        <v>70-74歳</v>
      </c>
      <c r="C28">
        <f>VLOOKUP(B28,人口データテーブル!$J$23:$P$38,MATCH(A28,人口データテーブル!$J$23:$P$23,0),FALSE)</f>
        <v>1325</v>
      </c>
      <c r="D28">
        <f>VLOOKUP(B28,人口データテーブル!$J$42:$P$57,MATCH(A28,人口データテーブル!$J$42:$P$42,0),FALSE)</f>
        <v>1541</v>
      </c>
      <c r="G28" s="40" t="s">
        <v>252</v>
      </c>
      <c r="H28">
        <f>ROUND($C28*年齢階級別男女別世帯主割合!B32,0)</f>
        <v>191</v>
      </c>
      <c r="I28">
        <f>ROUND($C28*年齢階級別男女別世帯主割合!C32,0)</f>
        <v>590</v>
      </c>
      <c r="J28">
        <f>ROUND($C28*年齢階級別男女別世帯主割合!D32,0)</f>
        <v>282</v>
      </c>
      <c r="K28">
        <f>ROUND($C28*年齢階級別男女別世帯主割合!E32,0)</f>
        <v>29</v>
      </c>
      <c r="L28">
        <f>ROUND($C28*年齢階級別男女別世帯主割合!F32,0)</f>
        <v>137</v>
      </c>
      <c r="M28">
        <f>ROUND($D28*年齢階級別男女別世帯主割合!G32,0)</f>
        <v>275</v>
      </c>
      <c r="N28">
        <f>ROUND($D28*年齢階級別男女別世帯主割合!H32,0)</f>
        <v>3</v>
      </c>
      <c r="O28">
        <f>ROUND($D28*年齢階級別男女別世帯主割合!I32,0)</f>
        <v>1</v>
      </c>
      <c r="P28">
        <f>ROUND($D28*年齢階級別男女別世帯主割合!J32,0)</f>
        <v>85</v>
      </c>
      <c r="Q28">
        <f>ROUND($D28*年齢階級別男女別世帯主割合!K32,0)</f>
        <v>27</v>
      </c>
      <c r="S28" s="40" t="s">
        <v>252</v>
      </c>
      <c r="T28">
        <f t="shared" si="2"/>
        <v>191</v>
      </c>
      <c r="U28">
        <f t="shared" si="3"/>
        <v>275</v>
      </c>
      <c r="V28">
        <f t="shared" si="4"/>
        <v>593</v>
      </c>
      <c r="W28">
        <f t="shared" si="5"/>
        <v>283</v>
      </c>
      <c r="X28">
        <f t="shared" si="6"/>
        <v>114</v>
      </c>
      <c r="Y28">
        <f t="shared" si="7"/>
        <v>164</v>
      </c>
      <c r="AD28" t="str">
        <f t="shared" si="8"/>
        <v>70</v>
      </c>
      <c r="AE28" s="40" t="s">
        <v>252</v>
      </c>
      <c r="AF28">
        <f t="shared" si="9"/>
        <v>466</v>
      </c>
    </row>
    <row r="29" spans="1:32" x14ac:dyDescent="0.45">
      <c r="A29" t="str">
        <f t="shared" si="0"/>
        <v>2020年</v>
      </c>
      <c r="B29" t="str">
        <f t="shared" si="1"/>
        <v>75-79歳</v>
      </c>
      <c r="C29">
        <f>VLOOKUP(B29,人口データテーブル!$J$23:$P$38,MATCH(A29,人口データテーブル!$J$23:$P$23,0),FALSE)</f>
        <v>989</v>
      </c>
      <c r="D29">
        <f>VLOOKUP(B29,人口データテーブル!$J$42:$P$57,MATCH(A29,人口データテーブル!$J$42:$P$42,0),FALSE)</f>
        <v>1225</v>
      </c>
      <c r="G29" s="40" t="s">
        <v>253</v>
      </c>
      <c r="H29">
        <f>ROUND($C29*年齢階級別男女別世帯主割合!B33,0)</f>
        <v>122</v>
      </c>
      <c r="I29">
        <f>ROUND($C29*年齢階級別男女別世帯主割合!C33,0)</f>
        <v>475</v>
      </c>
      <c r="J29">
        <f>ROUND($C29*年齢階級別男女別世帯主割合!D33,0)</f>
        <v>192</v>
      </c>
      <c r="K29">
        <f>ROUND($C29*年齢階級別男女別世帯主割合!E33,0)</f>
        <v>25</v>
      </c>
      <c r="L29">
        <f>ROUND($C29*年齢階級別男女別世帯主割合!F33,0)</f>
        <v>99</v>
      </c>
      <c r="M29">
        <f>ROUND($D29*年齢階級別男女別世帯主割合!G33,0)</f>
        <v>289</v>
      </c>
      <c r="N29">
        <f>ROUND($D29*年齢階級別男女別世帯主割合!H33,0)</f>
        <v>2</v>
      </c>
      <c r="O29">
        <f>ROUND($D29*年齢階級別男女別世帯主割合!I33,0)</f>
        <v>0</v>
      </c>
      <c r="P29">
        <f>ROUND($D29*年齢階級別男女別世帯主割合!J33,0)</f>
        <v>76</v>
      </c>
      <c r="Q29">
        <f>ROUND($D29*年齢階級別男女別世帯主割合!K33,0)</f>
        <v>25</v>
      </c>
      <c r="S29" s="40" t="s">
        <v>253</v>
      </c>
      <c r="T29">
        <f t="shared" si="2"/>
        <v>122</v>
      </c>
      <c r="U29">
        <f t="shared" si="3"/>
        <v>289</v>
      </c>
      <c r="V29">
        <f t="shared" si="4"/>
        <v>477</v>
      </c>
      <c r="W29">
        <f t="shared" si="5"/>
        <v>192</v>
      </c>
      <c r="X29">
        <f t="shared" si="6"/>
        <v>101</v>
      </c>
      <c r="Y29">
        <f t="shared" si="7"/>
        <v>124</v>
      </c>
      <c r="AD29" t="str">
        <f t="shared" si="8"/>
        <v>75</v>
      </c>
      <c r="AE29" s="40" t="s">
        <v>253</v>
      </c>
      <c r="AF29">
        <f t="shared" si="9"/>
        <v>411</v>
      </c>
    </row>
    <row r="30" spans="1:32" x14ac:dyDescent="0.45">
      <c r="A30" t="str">
        <f t="shared" si="0"/>
        <v>2020年</v>
      </c>
      <c r="B30" t="str">
        <f t="shared" si="1"/>
        <v>80-84歳</v>
      </c>
      <c r="C30">
        <f>VLOOKUP(B30,人口データテーブル!$J$23:$P$38,MATCH(A30,人口データテーブル!$J$23:$P$23,0),FALSE)</f>
        <v>659</v>
      </c>
      <c r="D30">
        <f>VLOOKUP(B30,人口データテーブル!$J$42:$P$57,MATCH(A30,人口データテーブル!$J$42:$P$42,0),FALSE)</f>
        <v>789</v>
      </c>
      <c r="G30" s="40" t="s">
        <v>254</v>
      </c>
      <c r="H30">
        <f>ROUND($C30*年齢階級別男女別世帯主割合!B34,0)</f>
        <v>81</v>
      </c>
      <c r="I30">
        <f>ROUND($C30*年齢階級別男女別世帯主割合!C34,0)</f>
        <v>301</v>
      </c>
      <c r="J30">
        <f>ROUND($C30*年齢階級別男女別世帯主割合!D34,0)</f>
        <v>106</v>
      </c>
      <c r="K30">
        <f>ROUND($C30*年齢階級別男女別世帯主割合!E34,0)</f>
        <v>21</v>
      </c>
      <c r="L30">
        <f>ROUND($C30*年齢階級別男女別世帯主割合!F34,0)</f>
        <v>73</v>
      </c>
      <c r="M30">
        <f>ROUND($D30*年齢階級別男女別世帯主割合!G34,0)</f>
        <v>219</v>
      </c>
      <c r="N30">
        <f>ROUND($D30*年齢階級別男女別世帯主割合!H34,0)</f>
        <v>1</v>
      </c>
      <c r="O30">
        <f>ROUND($D30*年齢階級別男女別世帯主割合!I34,0)</f>
        <v>0</v>
      </c>
      <c r="P30">
        <f>ROUND($D30*年齢階級別男女別世帯主割合!J34,0)</f>
        <v>48</v>
      </c>
      <c r="Q30">
        <f>ROUND($D30*年齢階級別男女別世帯主割合!K34,0)</f>
        <v>17</v>
      </c>
      <c r="S30" s="40" t="s">
        <v>254</v>
      </c>
      <c r="T30">
        <f t="shared" si="2"/>
        <v>81</v>
      </c>
      <c r="U30">
        <f t="shared" si="3"/>
        <v>219</v>
      </c>
      <c r="V30">
        <f t="shared" si="4"/>
        <v>302</v>
      </c>
      <c r="W30">
        <f t="shared" si="5"/>
        <v>106</v>
      </c>
      <c r="X30">
        <f t="shared" si="6"/>
        <v>69</v>
      </c>
      <c r="Y30">
        <f t="shared" si="7"/>
        <v>90</v>
      </c>
      <c r="AD30" t="str">
        <f t="shared" si="8"/>
        <v>80</v>
      </c>
      <c r="AE30" s="40" t="s">
        <v>254</v>
      </c>
      <c r="AF30">
        <f t="shared" si="9"/>
        <v>300</v>
      </c>
    </row>
    <row r="31" spans="1:32" x14ac:dyDescent="0.45">
      <c r="A31" t="str">
        <f t="shared" si="0"/>
        <v>2020年</v>
      </c>
      <c r="B31" t="str">
        <f t="shared" si="1"/>
        <v>85歳以上</v>
      </c>
      <c r="C31">
        <f>VLOOKUP(B31,人口データテーブル!$J$23:$P$38,MATCH(A31,人口データテーブル!$J$23:$P$23,0),FALSE)</f>
        <v>471</v>
      </c>
      <c r="D31">
        <f>VLOOKUP(B31,人口データテーブル!$J$42:$P$57,MATCH(A31,人口データテーブル!$J$42:$P$42,0),FALSE)</f>
        <v>947</v>
      </c>
      <c r="G31" s="40" t="s">
        <v>255</v>
      </c>
      <c r="H31">
        <f>ROUND($C31*年齢階級別男女別世帯主割合!B35,0)</f>
        <v>64</v>
      </c>
      <c r="I31">
        <f>ROUND($C31*年齢階級別男女別世帯主割合!C35,0)</f>
        <v>160</v>
      </c>
      <c r="J31">
        <f>ROUND($C31*年齢階級別男女別世帯主割合!D35,0)</f>
        <v>46</v>
      </c>
      <c r="K31">
        <f>ROUND($C31*年齢階級別男女別世帯主割合!E35,0)</f>
        <v>19</v>
      </c>
      <c r="L31">
        <f>ROUND($C31*年齢階級別男女別世帯主割合!F35,0)</f>
        <v>62</v>
      </c>
      <c r="M31">
        <f>ROUND($D31*年齢階級別男女別世帯主割合!G35,0)</f>
        <v>215</v>
      </c>
      <c r="N31">
        <f>ROUND($D31*年齢階級別男女別世帯主割合!H35,0)</f>
        <v>0</v>
      </c>
      <c r="O31">
        <f>ROUND($D31*年齢階級別男女別世帯主割合!I35,0)</f>
        <v>0</v>
      </c>
      <c r="P31">
        <f>ROUND($D31*年齢階級別男女別世帯主割合!J35,0)</f>
        <v>44</v>
      </c>
      <c r="Q31">
        <f>ROUND($D31*年齢階級別男女別世帯主割合!K35,0)</f>
        <v>19</v>
      </c>
      <c r="S31" s="40" t="s">
        <v>255</v>
      </c>
      <c r="T31">
        <f t="shared" si="2"/>
        <v>64</v>
      </c>
      <c r="U31">
        <f t="shared" si="3"/>
        <v>215</v>
      </c>
      <c r="V31">
        <f t="shared" si="4"/>
        <v>160</v>
      </c>
      <c r="W31">
        <f t="shared" si="5"/>
        <v>46</v>
      </c>
      <c r="X31">
        <f t="shared" si="6"/>
        <v>63</v>
      </c>
      <c r="Y31">
        <f t="shared" si="7"/>
        <v>81</v>
      </c>
      <c r="AD31" t="str">
        <f t="shared" si="8"/>
        <v>85</v>
      </c>
      <c r="AE31" s="40" t="s">
        <v>255</v>
      </c>
      <c r="AF31">
        <f t="shared" si="9"/>
        <v>279</v>
      </c>
    </row>
    <row r="32" spans="1:32" x14ac:dyDescent="0.45">
      <c r="A32" t="str">
        <f t="shared" si="0"/>
        <v>2025年</v>
      </c>
      <c r="B32" t="str">
        <f t="shared" si="1"/>
        <v>20歳未満</v>
      </c>
      <c r="C32">
        <f>VLOOKUP(B32,人口データテーブル!$J$23:$P$38,MATCH(A32,人口データテーブル!$J$23:$P$23,0),FALSE)</f>
        <v>7646</v>
      </c>
      <c r="D32">
        <f>VLOOKUP(B32,人口データテーブル!$J$42:$P$57,MATCH(A32,人口データテーブル!$J$42:$P$42,0),FALSE)</f>
        <v>7465</v>
      </c>
      <c r="F32" t="s">
        <v>225</v>
      </c>
      <c r="G32" s="39" t="s">
        <v>256</v>
      </c>
      <c r="H32">
        <f>ROUND($C32*年齢階級別男女別世帯主割合!B37,0)</f>
        <v>163</v>
      </c>
      <c r="I32">
        <f>ROUND($C32*年齢階級別男女別世帯主割合!C37,0)</f>
        <v>1</v>
      </c>
      <c r="J32">
        <f>ROUND($C32*年齢階級別男女別世帯主割合!D37,0)</f>
        <v>1</v>
      </c>
      <c r="K32">
        <f>ROUND($C32*年齢階級別男女別世帯主割合!E37,0)</f>
        <v>0</v>
      </c>
      <c r="L32">
        <f>ROUND($C32*年齢階級別男女別世帯主割合!F37,0)</f>
        <v>1</v>
      </c>
      <c r="M32">
        <f>ROUND($D32*年齢階級別男女別世帯主割合!G37,0)</f>
        <v>97</v>
      </c>
      <c r="N32">
        <f>ROUND($D32*年齢階級別男女別世帯主割合!H37,0)</f>
        <v>0</v>
      </c>
      <c r="O32">
        <f>ROUND($D32*年齢階級別男女別世帯主割合!I37,0)</f>
        <v>0</v>
      </c>
      <c r="P32">
        <f>ROUND($D32*年齢階級別男女別世帯主割合!J37,0)</f>
        <v>1</v>
      </c>
      <c r="Q32">
        <f>ROUND($D32*年齢階級別男女別世帯主割合!K37,0)</f>
        <v>1</v>
      </c>
      <c r="S32" s="39" t="s">
        <v>256</v>
      </c>
      <c r="T32">
        <f t="shared" si="2"/>
        <v>163</v>
      </c>
      <c r="U32">
        <f t="shared" si="3"/>
        <v>97</v>
      </c>
      <c r="V32">
        <f t="shared" si="4"/>
        <v>1</v>
      </c>
      <c r="W32">
        <f t="shared" si="5"/>
        <v>1</v>
      </c>
      <c r="X32">
        <f t="shared" si="6"/>
        <v>1</v>
      </c>
      <c r="Y32">
        <f t="shared" si="7"/>
        <v>2</v>
      </c>
      <c r="AD32" t="str">
        <f t="shared" si="8"/>
        <v>20</v>
      </c>
      <c r="AE32" s="39" t="s">
        <v>256</v>
      </c>
      <c r="AF32">
        <f t="shared" si="9"/>
        <v>260</v>
      </c>
    </row>
    <row r="33" spans="1:32" x14ac:dyDescent="0.45">
      <c r="A33" t="str">
        <f t="shared" si="0"/>
        <v>2025年</v>
      </c>
      <c r="B33" t="str">
        <f t="shared" si="1"/>
        <v>20-24歳</v>
      </c>
      <c r="C33">
        <f>VLOOKUP(B33,人口データテーブル!$J$23:$P$38,MATCH(A33,人口データテーブル!$J$23:$P$23,0),FALSE)</f>
        <v>2619</v>
      </c>
      <c r="D33">
        <f>VLOOKUP(B33,人口データテーブル!$J$42:$P$57,MATCH(A33,人口データテーブル!$J$42:$P$42,0),FALSE)</f>
        <v>2575</v>
      </c>
      <c r="F33" t="s">
        <v>225</v>
      </c>
      <c r="G33" s="39" t="s">
        <v>257</v>
      </c>
      <c r="H33">
        <f>ROUND($C33*年齢階級別男女別世帯主割合!B38,0)</f>
        <v>824</v>
      </c>
      <c r="I33">
        <f>ROUND($C33*年齢階級別男女別世帯主割合!C38,0)</f>
        <v>31</v>
      </c>
      <c r="J33">
        <f>ROUND($C33*年齢階級別男女別世帯主割合!D38,0)</f>
        <v>51</v>
      </c>
      <c r="K33">
        <f>ROUND($C33*年齢階級別男女別世帯主割合!E38,0)</f>
        <v>5</v>
      </c>
      <c r="L33">
        <f>ROUND($C33*年齢階級別男女別世帯主割合!F38,0)</f>
        <v>25</v>
      </c>
      <c r="M33">
        <f>ROUND($D33*年齢階級別男女別世帯主割合!G38,0)</f>
        <v>514</v>
      </c>
      <c r="N33">
        <f>ROUND($D33*年齢階級別男女別世帯主割合!H38,0)</f>
        <v>2</v>
      </c>
      <c r="O33">
        <f>ROUND($D33*年齢階級別男女別世帯主割合!I38,0)</f>
        <v>1</v>
      </c>
      <c r="P33">
        <f>ROUND($D33*年齢階級別男女別世帯主割合!J38,0)</f>
        <v>18</v>
      </c>
      <c r="Q33">
        <f>ROUND($D33*年齢階級別男女別世帯主割合!K38,0)</f>
        <v>18</v>
      </c>
      <c r="S33" s="39" t="s">
        <v>257</v>
      </c>
      <c r="T33">
        <f t="shared" si="2"/>
        <v>824</v>
      </c>
      <c r="U33">
        <f t="shared" si="3"/>
        <v>514</v>
      </c>
      <c r="V33">
        <f t="shared" si="4"/>
        <v>33</v>
      </c>
      <c r="W33">
        <f t="shared" si="5"/>
        <v>52</v>
      </c>
      <c r="X33">
        <f t="shared" si="6"/>
        <v>23</v>
      </c>
      <c r="Y33">
        <f t="shared" si="7"/>
        <v>43</v>
      </c>
      <c r="AD33" t="str">
        <f t="shared" si="8"/>
        <v>20</v>
      </c>
      <c r="AE33" s="39" t="s">
        <v>257</v>
      </c>
      <c r="AF33">
        <f t="shared" si="9"/>
        <v>1338</v>
      </c>
    </row>
    <row r="34" spans="1:32" x14ac:dyDescent="0.45">
      <c r="A34" t="str">
        <f t="shared" si="0"/>
        <v>2025年</v>
      </c>
      <c r="B34" t="str">
        <f t="shared" si="1"/>
        <v>25-29歳</v>
      </c>
      <c r="C34">
        <f>VLOOKUP(B34,人口データテーブル!$J$23:$P$38,MATCH(A34,人口データテーブル!$J$23:$P$23,0),FALSE)</f>
        <v>1660</v>
      </c>
      <c r="D34">
        <f>VLOOKUP(B34,人口データテーブル!$J$42:$P$57,MATCH(A34,人口データテーブル!$J$42:$P$42,0),FALSE)</f>
        <v>1912</v>
      </c>
      <c r="F34" t="s">
        <v>225</v>
      </c>
      <c r="G34" s="39" t="s">
        <v>258</v>
      </c>
      <c r="H34">
        <f>ROUND($C34*年齢階級別男女別世帯主割合!B39,0)</f>
        <v>561</v>
      </c>
      <c r="I34">
        <f>ROUND($C34*年齢階級別男女別世帯主割合!C39,0)</f>
        <v>157</v>
      </c>
      <c r="J34">
        <f>ROUND($C34*年齢階級別男女別世帯主割合!D39,0)</f>
        <v>189</v>
      </c>
      <c r="K34">
        <f>ROUND($C34*年齢階級別男女別世帯主割合!E39,0)</f>
        <v>8</v>
      </c>
      <c r="L34">
        <f>ROUND($C34*年齢階級別男女別世帯主割合!F39,0)</f>
        <v>28</v>
      </c>
      <c r="M34">
        <f>ROUND($D34*年齢階級別男女別世帯主割合!G39,0)</f>
        <v>343</v>
      </c>
      <c r="N34">
        <f>ROUND($D34*年齢階級別男女別世帯主割合!H39,0)</f>
        <v>9</v>
      </c>
      <c r="O34">
        <f>ROUND($D34*年齢階級別男女別世帯主割合!I39,0)</f>
        <v>5</v>
      </c>
      <c r="P34">
        <f>ROUND($D34*年齢階級別男女別世帯主割合!J39,0)</f>
        <v>51</v>
      </c>
      <c r="Q34">
        <f>ROUND($D34*年齢階級別男女別世帯主割合!K39,0)</f>
        <v>13</v>
      </c>
      <c r="S34" s="39" t="s">
        <v>258</v>
      </c>
      <c r="T34">
        <f t="shared" si="2"/>
        <v>561</v>
      </c>
      <c r="U34">
        <f t="shared" si="3"/>
        <v>343</v>
      </c>
      <c r="V34">
        <f t="shared" si="4"/>
        <v>166</v>
      </c>
      <c r="W34">
        <f t="shared" si="5"/>
        <v>194</v>
      </c>
      <c r="X34">
        <f t="shared" si="6"/>
        <v>59</v>
      </c>
      <c r="Y34">
        <f t="shared" si="7"/>
        <v>41</v>
      </c>
      <c r="AD34" t="str">
        <f t="shared" si="8"/>
        <v>25</v>
      </c>
      <c r="AE34" s="39" t="s">
        <v>258</v>
      </c>
      <c r="AF34">
        <f t="shared" si="9"/>
        <v>904</v>
      </c>
    </row>
    <row r="35" spans="1:32" x14ac:dyDescent="0.45">
      <c r="A35" t="str">
        <f t="shared" si="0"/>
        <v>2025年</v>
      </c>
      <c r="B35" t="str">
        <f t="shared" si="1"/>
        <v>30-34歳</v>
      </c>
      <c r="C35">
        <f>VLOOKUP(B35,人口データテーブル!$J$23:$P$38,MATCH(A35,人口データテーブル!$J$23:$P$23,0),FALSE)</f>
        <v>1821</v>
      </c>
      <c r="D35">
        <f>VLOOKUP(B35,人口データテーブル!$J$42:$P$57,MATCH(A35,人口データテーブル!$J$42:$P$42,0),FALSE)</f>
        <v>2019</v>
      </c>
      <c r="F35" t="s">
        <v>225</v>
      </c>
      <c r="G35" s="39" t="s">
        <v>259</v>
      </c>
      <c r="H35">
        <f>ROUND($C35*年齢階級別男女別世帯主割合!B40,0)</f>
        <v>466</v>
      </c>
      <c r="I35">
        <f>ROUND($C35*年齢階級別男女別世帯主割合!C40,0)</f>
        <v>217</v>
      </c>
      <c r="J35">
        <f>ROUND($C35*年齢階級別男女別世帯主割合!D40,0)</f>
        <v>556</v>
      </c>
      <c r="K35">
        <f>ROUND($C35*年齢階級別男女別世帯主割合!E40,0)</f>
        <v>13</v>
      </c>
      <c r="L35">
        <f>ROUND($C35*年齢階級別男女別世帯主割合!F40,0)</f>
        <v>37</v>
      </c>
      <c r="M35">
        <f>ROUND($D35*年齢階級別男女別世帯主割合!G40,0)</f>
        <v>231</v>
      </c>
      <c r="N35">
        <f>ROUND($D35*年齢階級別男女別世帯主割合!H40,0)</f>
        <v>9</v>
      </c>
      <c r="O35">
        <f>ROUND($D35*年齢階級別男女別世帯主割合!I40,0)</f>
        <v>11</v>
      </c>
      <c r="P35">
        <f>ROUND($D35*年齢階級別男女別世帯主割合!J40,0)</f>
        <v>98</v>
      </c>
      <c r="Q35">
        <f>ROUND($D35*年齢階級別男女別世帯主割合!K40,0)</f>
        <v>11</v>
      </c>
      <c r="S35" s="39" t="s">
        <v>259</v>
      </c>
      <c r="T35">
        <f t="shared" si="2"/>
        <v>466</v>
      </c>
      <c r="U35">
        <f t="shared" si="3"/>
        <v>231</v>
      </c>
      <c r="V35">
        <f t="shared" si="4"/>
        <v>226</v>
      </c>
      <c r="W35">
        <f t="shared" si="5"/>
        <v>567</v>
      </c>
      <c r="X35">
        <f t="shared" si="6"/>
        <v>111</v>
      </c>
      <c r="Y35">
        <f t="shared" si="7"/>
        <v>48</v>
      </c>
      <c r="AD35" t="str">
        <f t="shared" si="8"/>
        <v>30</v>
      </c>
      <c r="AE35" s="39" t="s">
        <v>259</v>
      </c>
      <c r="AF35">
        <f t="shared" si="9"/>
        <v>697</v>
      </c>
    </row>
    <row r="36" spans="1:32" x14ac:dyDescent="0.45">
      <c r="A36" t="str">
        <f t="shared" si="0"/>
        <v>2025年</v>
      </c>
      <c r="B36" t="str">
        <f t="shared" si="1"/>
        <v>35-39歳</v>
      </c>
      <c r="C36">
        <f>VLOOKUP(B36,人口データテーブル!$J$23:$P$38,MATCH(A36,人口データテーブル!$J$23:$P$23,0),FALSE)</f>
        <v>2031</v>
      </c>
      <c r="D36">
        <f>VLOOKUP(B36,人口データテーブル!$J$42:$P$57,MATCH(A36,人口データテーブル!$J$42:$P$42,0),FALSE)</f>
        <v>2200</v>
      </c>
      <c r="F36" t="s">
        <v>225</v>
      </c>
      <c r="G36" s="39" t="s">
        <v>260</v>
      </c>
      <c r="H36">
        <f>ROUND($C36*年齢階級別男女別世帯主割合!B41,0)</f>
        <v>413</v>
      </c>
      <c r="I36">
        <f>ROUND($C36*年齢階級別男女別世帯主割合!C41,0)</f>
        <v>184</v>
      </c>
      <c r="J36">
        <f>ROUND($C36*年齢階級別男女別世帯主割合!D41,0)</f>
        <v>891</v>
      </c>
      <c r="K36">
        <f>ROUND($C36*年齢階級別男女別世帯主割合!E41,0)</f>
        <v>23</v>
      </c>
      <c r="L36">
        <f>ROUND($C36*年齢階級別男女別世帯主割合!F41,0)</f>
        <v>56</v>
      </c>
      <c r="M36">
        <f>ROUND($D36*年齢階級別男女別世帯主割合!G41,0)</f>
        <v>194</v>
      </c>
      <c r="N36">
        <f>ROUND($D36*年齢階級別男女別世帯主割合!H41,0)</f>
        <v>6</v>
      </c>
      <c r="O36">
        <f>ROUND($D36*年齢階級別男女別世帯主割合!I41,0)</f>
        <v>11</v>
      </c>
      <c r="P36">
        <f>ROUND($D36*年齢階級別男女別世帯主割合!J41,0)</f>
        <v>145</v>
      </c>
      <c r="Q36">
        <f>ROUND($D36*年齢階級別男女別世帯主割合!K41,0)</f>
        <v>14</v>
      </c>
      <c r="S36" s="39" t="s">
        <v>260</v>
      </c>
      <c r="T36">
        <f t="shared" si="2"/>
        <v>413</v>
      </c>
      <c r="U36">
        <f t="shared" si="3"/>
        <v>194</v>
      </c>
      <c r="V36">
        <f t="shared" si="4"/>
        <v>190</v>
      </c>
      <c r="W36">
        <f t="shared" si="5"/>
        <v>902</v>
      </c>
      <c r="X36">
        <f t="shared" si="6"/>
        <v>168</v>
      </c>
      <c r="Y36">
        <f t="shared" si="7"/>
        <v>70</v>
      </c>
      <c r="AD36" t="str">
        <f t="shared" si="8"/>
        <v>35</v>
      </c>
      <c r="AE36" s="39" t="s">
        <v>260</v>
      </c>
      <c r="AF36">
        <f t="shared" si="9"/>
        <v>607</v>
      </c>
    </row>
    <row r="37" spans="1:32" x14ac:dyDescent="0.45">
      <c r="A37" t="str">
        <f t="shared" si="0"/>
        <v>2025年</v>
      </c>
      <c r="B37" t="str">
        <f t="shared" si="1"/>
        <v>40-44歳</v>
      </c>
      <c r="C37">
        <f>VLOOKUP(B37,人口データテーブル!$J$23:$P$38,MATCH(A37,人口データテーブル!$J$23:$P$23,0),FALSE)</f>
        <v>2280</v>
      </c>
      <c r="D37">
        <f>VLOOKUP(B37,人口データテーブル!$J$42:$P$57,MATCH(A37,人口データテーブル!$J$42:$P$42,0),FALSE)</f>
        <v>2403</v>
      </c>
      <c r="F37" t="s">
        <v>225</v>
      </c>
      <c r="G37" s="39" t="s">
        <v>261</v>
      </c>
      <c r="H37">
        <f>ROUND($C37*年齢階級別男女別世帯主割合!B42,0)</f>
        <v>428</v>
      </c>
      <c r="I37">
        <f>ROUND($C37*年齢階級別男女別世帯主割合!C42,0)</f>
        <v>176</v>
      </c>
      <c r="J37">
        <f>ROUND($C37*年齢階級別男女別世帯主割合!D42,0)</f>
        <v>1077</v>
      </c>
      <c r="K37">
        <f>ROUND($C37*年齢階級別男女別世帯主割合!E42,0)</f>
        <v>56</v>
      </c>
      <c r="L37">
        <f>ROUND($C37*年齢階級別男女別世帯主割合!F42,0)</f>
        <v>96</v>
      </c>
      <c r="M37">
        <f>ROUND($D37*年齢階級別男女別世帯主割合!G42,0)</f>
        <v>199</v>
      </c>
      <c r="N37">
        <f>ROUND($D37*年齢階級別男女別世帯主割合!H42,0)</f>
        <v>5</v>
      </c>
      <c r="O37">
        <f>ROUND($D37*年齢階級別男女別世帯主割合!I42,0)</f>
        <v>12</v>
      </c>
      <c r="P37">
        <f>ROUND($D37*年齢階級別男女別世帯主割合!J42,0)</f>
        <v>207</v>
      </c>
      <c r="Q37">
        <f>ROUND($D37*年齢階級別男女別世帯主割合!K42,0)</f>
        <v>23</v>
      </c>
      <c r="S37" s="39" t="s">
        <v>261</v>
      </c>
      <c r="T37">
        <f t="shared" si="2"/>
        <v>428</v>
      </c>
      <c r="U37">
        <f t="shared" si="3"/>
        <v>199</v>
      </c>
      <c r="V37">
        <f t="shared" si="4"/>
        <v>181</v>
      </c>
      <c r="W37">
        <f t="shared" si="5"/>
        <v>1089</v>
      </c>
      <c r="X37">
        <f t="shared" si="6"/>
        <v>263</v>
      </c>
      <c r="Y37">
        <f t="shared" si="7"/>
        <v>119</v>
      </c>
      <c r="AD37" t="str">
        <f t="shared" si="8"/>
        <v>40</v>
      </c>
      <c r="AE37" s="39" t="s">
        <v>261</v>
      </c>
      <c r="AF37">
        <f t="shared" si="9"/>
        <v>627</v>
      </c>
    </row>
    <row r="38" spans="1:32" x14ac:dyDescent="0.45">
      <c r="A38" t="str">
        <f t="shared" si="0"/>
        <v>2025年</v>
      </c>
      <c r="B38" t="str">
        <f t="shared" si="1"/>
        <v>45-49歳</v>
      </c>
      <c r="C38">
        <f>VLOOKUP(B38,人口データテーブル!$J$23:$P$38,MATCH(A38,人口データテーブル!$J$23:$P$23,0),FALSE)</f>
        <v>2405</v>
      </c>
      <c r="D38">
        <f>VLOOKUP(B38,人口データテーブル!$J$42:$P$57,MATCH(A38,人口データテーブル!$J$42:$P$42,0),FALSE)</f>
        <v>2519</v>
      </c>
      <c r="F38" t="s">
        <v>225</v>
      </c>
      <c r="G38" s="39" t="s">
        <v>262</v>
      </c>
      <c r="H38">
        <f>ROUND($C38*年齢階級別男女別世帯主割合!B43,0)</f>
        <v>444</v>
      </c>
      <c r="I38">
        <f>ROUND($C38*年齢階級別男女別世帯主割合!C43,0)</f>
        <v>213</v>
      </c>
      <c r="J38">
        <f>ROUND($C38*年齢階級別男女別世帯主割合!D43,0)</f>
        <v>1129</v>
      </c>
      <c r="K38">
        <f>ROUND($C38*年齢階級別男女別世帯主割合!E43,0)</f>
        <v>95</v>
      </c>
      <c r="L38">
        <f>ROUND($C38*年齢階級別男女別世帯主割合!F43,0)</f>
        <v>138</v>
      </c>
      <c r="M38">
        <f>ROUND($D38*年齢階級別男女別世帯主割合!G43,0)</f>
        <v>227</v>
      </c>
      <c r="N38">
        <f>ROUND($D38*年齢階級別男女別世帯主割合!H43,0)</f>
        <v>6</v>
      </c>
      <c r="O38">
        <f>ROUND($D38*年齢階級別男女別世帯主割合!I43,0)</f>
        <v>10</v>
      </c>
      <c r="P38">
        <f>ROUND($D38*年齢階級別男女別世帯主割合!J43,0)</f>
        <v>245</v>
      </c>
      <c r="Q38">
        <f>ROUND($D38*年齢階級別男女別世帯主割合!K43,0)</f>
        <v>35</v>
      </c>
      <c r="S38" s="39" t="s">
        <v>262</v>
      </c>
      <c r="T38">
        <f t="shared" si="2"/>
        <v>444</v>
      </c>
      <c r="U38">
        <f t="shared" si="3"/>
        <v>227</v>
      </c>
      <c r="V38">
        <f t="shared" si="4"/>
        <v>219</v>
      </c>
      <c r="W38">
        <f t="shared" si="5"/>
        <v>1139</v>
      </c>
      <c r="X38">
        <f t="shared" si="6"/>
        <v>340</v>
      </c>
      <c r="Y38">
        <f t="shared" si="7"/>
        <v>173</v>
      </c>
      <c r="AD38" t="str">
        <f t="shared" si="8"/>
        <v>45</v>
      </c>
      <c r="AE38" s="39" t="s">
        <v>262</v>
      </c>
      <c r="AF38">
        <f t="shared" si="9"/>
        <v>671</v>
      </c>
    </row>
    <row r="39" spans="1:32" x14ac:dyDescent="0.45">
      <c r="A39" t="str">
        <f t="shared" si="0"/>
        <v>2025年</v>
      </c>
      <c r="B39" t="str">
        <f t="shared" si="1"/>
        <v>50-54歳</v>
      </c>
      <c r="C39">
        <f>VLOOKUP(B39,人口データテーブル!$J$23:$P$38,MATCH(A39,人口データテーブル!$J$23:$P$23,0),FALSE)</f>
        <v>2478</v>
      </c>
      <c r="D39">
        <f>VLOOKUP(B39,人口データテーブル!$J$42:$P$57,MATCH(A39,人口データテーブル!$J$42:$P$42,0),FALSE)</f>
        <v>2639</v>
      </c>
      <c r="F39" t="s">
        <v>225</v>
      </c>
      <c r="G39" s="39" t="s">
        <v>263</v>
      </c>
      <c r="H39">
        <f>ROUND($C39*年齢階級別男女別世帯主割合!B44,0)</f>
        <v>478</v>
      </c>
      <c r="I39">
        <f>ROUND($C39*年齢階級別男女別世帯主割合!C44,0)</f>
        <v>302</v>
      </c>
      <c r="J39">
        <f>ROUND($C39*年齢階級別男女別世帯主割合!D44,0)</f>
        <v>1045</v>
      </c>
      <c r="K39">
        <f>ROUND($C39*年齢階級別男女別世帯主割合!E44,0)</f>
        <v>105</v>
      </c>
      <c r="L39">
        <f>ROUND($C39*年齢階級別男女別世帯主割合!F44,0)</f>
        <v>185</v>
      </c>
      <c r="M39">
        <f>ROUND($D39*年齢階級別男女別世帯主割合!G44,0)</f>
        <v>283</v>
      </c>
      <c r="N39">
        <f>ROUND($D39*年齢階級別男女別世帯主割合!H44,0)</f>
        <v>6</v>
      </c>
      <c r="O39">
        <f>ROUND($D39*年齢階級別男女別世帯主割合!I44,0)</f>
        <v>8</v>
      </c>
      <c r="P39">
        <f>ROUND($D39*年齢階級別男女別世帯主割合!J44,0)</f>
        <v>231</v>
      </c>
      <c r="Q39">
        <f>ROUND($D39*年齢階級別男女別世帯主割合!K44,0)</f>
        <v>41</v>
      </c>
      <c r="S39" s="39" t="s">
        <v>263</v>
      </c>
      <c r="T39">
        <f t="shared" si="2"/>
        <v>478</v>
      </c>
      <c r="U39">
        <f t="shared" si="3"/>
        <v>283</v>
      </c>
      <c r="V39">
        <f t="shared" si="4"/>
        <v>308</v>
      </c>
      <c r="W39">
        <f t="shared" si="5"/>
        <v>1053</v>
      </c>
      <c r="X39">
        <f t="shared" si="6"/>
        <v>336</v>
      </c>
      <c r="Y39">
        <f t="shared" si="7"/>
        <v>226</v>
      </c>
      <c r="AD39" t="str">
        <f t="shared" si="8"/>
        <v>50</v>
      </c>
      <c r="AE39" s="39" t="s">
        <v>263</v>
      </c>
      <c r="AF39">
        <f t="shared" si="9"/>
        <v>761</v>
      </c>
    </row>
    <row r="40" spans="1:32" x14ac:dyDescent="0.45">
      <c r="A40" t="str">
        <f t="shared" si="0"/>
        <v>2025年</v>
      </c>
      <c r="B40" t="str">
        <f t="shared" si="1"/>
        <v>55-59歳</v>
      </c>
      <c r="C40">
        <f>VLOOKUP(B40,人口データテーブル!$J$23:$P$38,MATCH(A40,人口データテーブル!$J$23:$P$23,0),FALSE)</f>
        <v>1989</v>
      </c>
      <c r="D40">
        <f>VLOOKUP(B40,人口データテーブル!$J$42:$P$57,MATCH(A40,人口データテーブル!$J$42:$P$42,0),FALSE)</f>
        <v>2042</v>
      </c>
      <c r="F40" t="s">
        <v>225</v>
      </c>
      <c r="G40" s="39" t="s">
        <v>264</v>
      </c>
      <c r="H40">
        <f>ROUND($C40*年齢階級別男女別世帯主割合!B45,0)</f>
        <v>437</v>
      </c>
      <c r="I40">
        <f>ROUND($C40*年齢階級別男女別世帯主割合!C45,0)</f>
        <v>368</v>
      </c>
      <c r="J40">
        <f>ROUND($C40*年齢階級別男女別世帯主割合!D45,0)</f>
        <v>685</v>
      </c>
      <c r="K40">
        <f>ROUND($C40*年齢階級別男女別世帯主割合!E45,0)</f>
        <v>106</v>
      </c>
      <c r="L40">
        <f>ROUND($C40*年齢階級別男女別世帯主割合!F45,0)</f>
        <v>195</v>
      </c>
      <c r="M40">
        <f>ROUND($D40*年齢階級別男女別世帯主割合!G45,0)</f>
        <v>249</v>
      </c>
      <c r="N40">
        <f>ROUND($D40*年齢階級別男女別世帯主割合!H45,0)</f>
        <v>5</v>
      </c>
      <c r="O40">
        <f>ROUND($D40*年齢階級別男女別世帯主割合!I45,0)</f>
        <v>4</v>
      </c>
      <c r="P40">
        <f>ROUND($D40*年齢階級別男女別世帯主割合!J45,0)</f>
        <v>146</v>
      </c>
      <c r="Q40">
        <f>ROUND($D40*年齢階級別男女別世帯主割合!K45,0)</f>
        <v>33</v>
      </c>
      <c r="S40" s="39" t="s">
        <v>264</v>
      </c>
      <c r="T40">
        <f t="shared" si="2"/>
        <v>437</v>
      </c>
      <c r="U40">
        <f t="shared" si="3"/>
        <v>249</v>
      </c>
      <c r="V40">
        <f t="shared" si="4"/>
        <v>373</v>
      </c>
      <c r="W40">
        <f t="shared" si="5"/>
        <v>689</v>
      </c>
      <c r="X40">
        <f t="shared" si="6"/>
        <v>252</v>
      </c>
      <c r="Y40">
        <f t="shared" si="7"/>
        <v>228</v>
      </c>
      <c r="AD40" t="str">
        <f t="shared" si="8"/>
        <v>55</v>
      </c>
      <c r="AE40" s="39" t="s">
        <v>264</v>
      </c>
      <c r="AF40">
        <f t="shared" si="9"/>
        <v>686</v>
      </c>
    </row>
    <row r="41" spans="1:32" x14ac:dyDescent="0.45">
      <c r="A41" t="str">
        <f t="shared" si="0"/>
        <v>2025年</v>
      </c>
      <c r="B41" t="str">
        <f t="shared" si="1"/>
        <v>60-64歳</v>
      </c>
      <c r="C41">
        <f>VLOOKUP(B41,人口データテーブル!$J$23:$P$38,MATCH(A41,人口データテーブル!$J$23:$P$23,0),FALSE)</f>
        <v>1595</v>
      </c>
      <c r="D41">
        <f>VLOOKUP(B41,人口データテーブル!$J$42:$P$57,MATCH(A41,人口データテーブル!$J$42:$P$42,0),FALSE)</f>
        <v>1638</v>
      </c>
      <c r="F41" t="s">
        <v>225</v>
      </c>
      <c r="G41" s="39" t="s">
        <v>265</v>
      </c>
      <c r="H41">
        <f>ROUND($C41*年齢階級別男女別世帯主割合!B46,0)</f>
        <v>349</v>
      </c>
      <c r="I41">
        <f>ROUND($C41*年齢階級別男女別世帯主割合!C46,0)</f>
        <v>433</v>
      </c>
      <c r="J41">
        <f>ROUND($C41*年齢階級別男女別世帯主割合!D46,0)</f>
        <v>444</v>
      </c>
      <c r="K41">
        <f>ROUND($C41*年齢階級別男女別世帯主割合!E46,0)</f>
        <v>76</v>
      </c>
      <c r="L41">
        <f>ROUND($C41*年齢階級別男女別世帯主割合!F46,0)</f>
        <v>182</v>
      </c>
      <c r="M41">
        <f>ROUND($D41*年齢階級別男女別世帯主割合!G46,0)</f>
        <v>223</v>
      </c>
      <c r="N41">
        <f>ROUND($D41*年齢階級別男女別世帯主割合!H46,0)</f>
        <v>4</v>
      </c>
      <c r="O41">
        <f>ROUND($D41*年齢階級別男女別世帯主割合!I46,0)</f>
        <v>2</v>
      </c>
      <c r="P41">
        <f>ROUND($D41*年齢階級別男女別世帯主割合!J46,0)</f>
        <v>99</v>
      </c>
      <c r="Q41">
        <f>ROUND($D41*年齢階級別男女別世帯主割合!K46,0)</f>
        <v>26</v>
      </c>
      <c r="S41" s="39" t="s">
        <v>265</v>
      </c>
      <c r="T41">
        <f t="shared" si="2"/>
        <v>349</v>
      </c>
      <c r="U41">
        <f t="shared" si="3"/>
        <v>223</v>
      </c>
      <c r="V41">
        <f t="shared" si="4"/>
        <v>437</v>
      </c>
      <c r="W41">
        <f t="shared" si="5"/>
        <v>446</v>
      </c>
      <c r="X41">
        <f t="shared" si="6"/>
        <v>175</v>
      </c>
      <c r="Y41">
        <f t="shared" si="7"/>
        <v>208</v>
      </c>
      <c r="AD41" t="str">
        <f t="shared" si="8"/>
        <v>60</v>
      </c>
      <c r="AE41" s="39" t="s">
        <v>265</v>
      </c>
      <c r="AF41">
        <f t="shared" si="9"/>
        <v>572</v>
      </c>
    </row>
    <row r="42" spans="1:32" x14ac:dyDescent="0.45">
      <c r="A42" t="str">
        <f t="shared" si="0"/>
        <v>2025年</v>
      </c>
      <c r="B42" t="str">
        <f t="shared" si="1"/>
        <v>65-69歳</v>
      </c>
      <c r="C42">
        <f>VLOOKUP(B42,人口データテーブル!$J$23:$P$38,MATCH(A42,人口データテーブル!$J$23:$P$23,0),FALSE)</f>
        <v>1170</v>
      </c>
      <c r="D42">
        <f>VLOOKUP(B42,人口データテーブル!$J$42:$P$57,MATCH(A42,人口データテーブル!$J$42:$P$42,0),FALSE)</f>
        <v>1310</v>
      </c>
      <c r="G42" s="39" t="s">
        <v>266</v>
      </c>
      <c r="H42">
        <f>ROUND($C42*年齢階級別男女別世帯主割合!B47,0)</f>
        <v>228</v>
      </c>
      <c r="I42">
        <f>ROUND($C42*年齢階級別男女別世帯主割合!C47,0)</f>
        <v>424</v>
      </c>
      <c r="J42">
        <f>ROUND($C42*年齢階級別男女別世帯主割合!D47,0)</f>
        <v>269</v>
      </c>
      <c r="K42">
        <f>ROUND($C42*年齢階級別男女別世帯主割合!E47,0)</f>
        <v>43</v>
      </c>
      <c r="L42">
        <f>ROUND($C42*年齢階級別男女別世帯主割合!F47,0)</f>
        <v>130</v>
      </c>
      <c r="M42">
        <f>ROUND($D42*年齢階級別男女別世帯主割合!G47,0)</f>
        <v>196</v>
      </c>
      <c r="N42">
        <f>ROUND($D42*年齢階級別男女別世帯主割合!H47,0)</f>
        <v>3</v>
      </c>
      <c r="O42">
        <f>ROUND($D42*年齢階級別男女別世帯主割合!I47,0)</f>
        <v>1</v>
      </c>
      <c r="P42">
        <f>ROUND($D42*年齢階級別男女別世帯主割合!J47,0)</f>
        <v>77</v>
      </c>
      <c r="Q42">
        <f>ROUND($D42*年齢階級別男女別世帯主割合!K47,0)</f>
        <v>21</v>
      </c>
      <c r="S42" s="39" t="s">
        <v>266</v>
      </c>
      <c r="T42">
        <f t="shared" si="2"/>
        <v>228</v>
      </c>
      <c r="U42">
        <f t="shared" si="3"/>
        <v>196</v>
      </c>
      <c r="V42">
        <f t="shared" si="4"/>
        <v>427</v>
      </c>
      <c r="W42">
        <f t="shared" si="5"/>
        <v>270</v>
      </c>
      <c r="X42">
        <f t="shared" si="6"/>
        <v>120</v>
      </c>
      <c r="Y42">
        <f t="shared" si="7"/>
        <v>151</v>
      </c>
      <c r="AD42" t="str">
        <f t="shared" si="8"/>
        <v>65</v>
      </c>
      <c r="AE42" s="39" t="s">
        <v>266</v>
      </c>
      <c r="AF42">
        <f t="shared" si="9"/>
        <v>424</v>
      </c>
    </row>
    <row r="43" spans="1:32" x14ac:dyDescent="0.45">
      <c r="A43" t="str">
        <f t="shared" si="0"/>
        <v>2025年</v>
      </c>
      <c r="B43" t="str">
        <f t="shared" si="1"/>
        <v>70-74歳</v>
      </c>
      <c r="C43">
        <f>VLOOKUP(B43,人口データテーブル!$J$23:$P$38,MATCH(A43,人口データテーブル!$J$23:$P$23,0),FALSE)</f>
        <v>1145</v>
      </c>
      <c r="D43">
        <f>VLOOKUP(B43,人口データテーブル!$J$42:$P$57,MATCH(A43,人口データテーブル!$J$42:$P$42,0),FALSE)</f>
        <v>1341</v>
      </c>
      <c r="G43" s="39" t="s">
        <v>267</v>
      </c>
      <c r="H43">
        <f>ROUND($C43*年齢階級別男女別世帯主割合!B48,0)</f>
        <v>187</v>
      </c>
      <c r="I43">
        <f>ROUND($C43*年齢階級別男女別世帯主割合!C48,0)</f>
        <v>493</v>
      </c>
      <c r="J43">
        <f>ROUND($C43*年齢階級別男女別世帯主割合!D48,0)</f>
        <v>234</v>
      </c>
      <c r="K43">
        <f>ROUND($C43*年齢階級別男女別世帯主割合!E48,0)</f>
        <v>25</v>
      </c>
      <c r="L43">
        <f>ROUND($C43*年齢階級別男女別世帯主割合!F48,0)</f>
        <v>112</v>
      </c>
      <c r="M43">
        <f>ROUND($D43*年齢階級別男女別世帯主割合!G48,0)</f>
        <v>242</v>
      </c>
      <c r="N43">
        <f>ROUND($D43*年齢階級別男女別世帯主割合!H48,0)</f>
        <v>3</v>
      </c>
      <c r="O43">
        <f>ROUND($D43*年齢階級別男女別世帯主割合!I48,0)</f>
        <v>1</v>
      </c>
      <c r="P43">
        <f>ROUND($D43*年齢階級別男女別世帯主割合!J48,0)</f>
        <v>75</v>
      </c>
      <c r="Q43">
        <f>ROUND($D43*年齢階級別男女別世帯主割合!K48,0)</f>
        <v>23</v>
      </c>
      <c r="S43" s="39" t="s">
        <v>267</v>
      </c>
      <c r="T43">
        <f t="shared" si="2"/>
        <v>187</v>
      </c>
      <c r="U43">
        <f t="shared" si="3"/>
        <v>242</v>
      </c>
      <c r="V43">
        <f t="shared" si="4"/>
        <v>496</v>
      </c>
      <c r="W43">
        <f t="shared" si="5"/>
        <v>235</v>
      </c>
      <c r="X43">
        <f t="shared" si="6"/>
        <v>100</v>
      </c>
      <c r="Y43">
        <f t="shared" si="7"/>
        <v>135</v>
      </c>
      <c r="AD43" t="str">
        <f t="shared" si="8"/>
        <v>70</v>
      </c>
      <c r="AE43" s="39" t="s">
        <v>267</v>
      </c>
      <c r="AF43">
        <f t="shared" si="9"/>
        <v>429</v>
      </c>
    </row>
    <row r="44" spans="1:32" x14ac:dyDescent="0.45">
      <c r="A44" t="str">
        <f t="shared" si="0"/>
        <v>2025年</v>
      </c>
      <c r="B44" t="str">
        <f t="shared" si="1"/>
        <v>75-79歳</v>
      </c>
      <c r="C44">
        <f>VLOOKUP(B44,人口データテーブル!$J$23:$P$38,MATCH(A44,人口データテーブル!$J$23:$P$23,0),FALSE)</f>
        <v>1212</v>
      </c>
      <c r="D44">
        <f>VLOOKUP(B44,人口データテーブル!$J$42:$P$57,MATCH(A44,人口データテーブル!$J$42:$P$42,0),FALSE)</f>
        <v>1520</v>
      </c>
      <c r="G44" s="39" t="s">
        <v>268</v>
      </c>
      <c r="H44">
        <f>ROUND($C44*年齢階級別男女別世帯主割合!B49,0)</f>
        <v>171</v>
      </c>
      <c r="I44">
        <f>ROUND($C44*年齢階級別男女別世帯主割合!C49,0)</f>
        <v>564</v>
      </c>
      <c r="J44">
        <f>ROUND($C44*年齢階級別男女別世帯主割合!D49,0)</f>
        <v>227</v>
      </c>
      <c r="K44">
        <f>ROUND($C44*年齢階級別男女別世帯主割合!E49,0)</f>
        <v>29</v>
      </c>
      <c r="L44">
        <f>ROUND($C44*年齢階級別男女別世帯主割合!F49,0)</f>
        <v>117</v>
      </c>
      <c r="M44">
        <f>ROUND($D44*年齢階級別男女別世帯主割合!G49,0)</f>
        <v>358</v>
      </c>
      <c r="N44">
        <f>ROUND($D44*年齢階級別男女別世帯主割合!H49,0)</f>
        <v>2</v>
      </c>
      <c r="O44">
        <f>ROUND($D44*年齢階級別男女別世帯主割合!I49,0)</f>
        <v>0</v>
      </c>
      <c r="P44">
        <f>ROUND($D44*年齢階級別男女別世帯主割合!J49,0)</f>
        <v>93</v>
      </c>
      <c r="Q44">
        <f>ROUND($D44*年齢階級別男女別世帯主割合!K49,0)</f>
        <v>30</v>
      </c>
      <c r="S44" s="39" t="s">
        <v>268</v>
      </c>
      <c r="T44">
        <f t="shared" si="2"/>
        <v>171</v>
      </c>
      <c r="U44">
        <f t="shared" si="3"/>
        <v>358</v>
      </c>
      <c r="V44">
        <f t="shared" si="4"/>
        <v>566</v>
      </c>
      <c r="W44">
        <f t="shared" si="5"/>
        <v>227</v>
      </c>
      <c r="X44">
        <f t="shared" si="6"/>
        <v>122</v>
      </c>
      <c r="Y44">
        <f t="shared" si="7"/>
        <v>147</v>
      </c>
      <c r="AD44" t="str">
        <f t="shared" si="8"/>
        <v>75</v>
      </c>
      <c r="AE44" s="39" t="s">
        <v>268</v>
      </c>
      <c r="AF44">
        <f t="shared" si="9"/>
        <v>529</v>
      </c>
    </row>
    <row r="45" spans="1:32" x14ac:dyDescent="0.45">
      <c r="A45" t="str">
        <f t="shared" si="0"/>
        <v>2025年</v>
      </c>
      <c r="B45" t="str">
        <f t="shared" si="1"/>
        <v>80-84歳</v>
      </c>
      <c r="C45">
        <f>VLOOKUP(B45,人口データテーブル!$J$23:$P$38,MATCH(A45,人口データテーブル!$J$23:$P$23,0),FALSE)</f>
        <v>838</v>
      </c>
      <c r="D45">
        <f>VLOOKUP(B45,人口データテーブル!$J$42:$P$57,MATCH(A45,人口データテーブル!$J$42:$P$42,0),FALSE)</f>
        <v>1137</v>
      </c>
      <c r="G45" s="39" t="s">
        <v>269</v>
      </c>
      <c r="H45">
        <f>ROUND($C45*年齢階級別男女別世帯主割合!B50,0)</f>
        <v>111</v>
      </c>
      <c r="I45">
        <f>ROUND($C45*年齢階級別男女別世帯主割合!C50,0)</f>
        <v>389</v>
      </c>
      <c r="J45">
        <f>ROUND($C45*年齢階級別男女別世帯主割合!D50,0)</f>
        <v>139</v>
      </c>
      <c r="K45">
        <f>ROUND($C45*年齢階級別男女別世帯主割合!E50,0)</f>
        <v>25</v>
      </c>
      <c r="L45">
        <f>ROUND($C45*年齢階級別男女別世帯主割合!F50,0)</f>
        <v>83</v>
      </c>
      <c r="M45">
        <f>ROUND($D45*年齢階級別男女別世帯主割合!G50,0)</f>
        <v>315</v>
      </c>
      <c r="N45">
        <f>ROUND($D45*年齢階級別男女別世帯主割合!H50,0)</f>
        <v>1</v>
      </c>
      <c r="O45">
        <f>ROUND($D45*年齢階級別男女別世帯主割合!I50,0)</f>
        <v>0</v>
      </c>
      <c r="P45">
        <f>ROUND($D45*年齢階級別男女別世帯主割合!J50,0)</f>
        <v>71</v>
      </c>
      <c r="Q45">
        <f>ROUND($D45*年齢階級別男女別世帯主割合!K50,0)</f>
        <v>24</v>
      </c>
      <c r="S45" s="39" t="s">
        <v>269</v>
      </c>
      <c r="T45">
        <f t="shared" si="2"/>
        <v>111</v>
      </c>
      <c r="U45">
        <f t="shared" si="3"/>
        <v>315</v>
      </c>
      <c r="V45">
        <f t="shared" si="4"/>
        <v>390</v>
      </c>
      <c r="W45">
        <f t="shared" si="5"/>
        <v>139</v>
      </c>
      <c r="X45">
        <f t="shared" si="6"/>
        <v>96</v>
      </c>
      <c r="Y45">
        <f t="shared" si="7"/>
        <v>107</v>
      </c>
      <c r="AD45" t="str">
        <f t="shared" si="8"/>
        <v>80</v>
      </c>
      <c r="AE45" s="39" t="s">
        <v>269</v>
      </c>
      <c r="AF45">
        <f t="shared" si="9"/>
        <v>426</v>
      </c>
    </row>
    <row r="46" spans="1:32" x14ac:dyDescent="0.45">
      <c r="A46" t="str">
        <f t="shared" si="0"/>
        <v>2025年</v>
      </c>
      <c r="B46" t="str">
        <f t="shared" si="1"/>
        <v>85歳以上</v>
      </c>
      <c r="C46">
        <f>VLOOKUP(B46,人口データテーブル!$J$23:$P$38,MATCH(A46,人口データテーブル!$J$23:$P$23,0),FALSE)</f>
        <v>671</v>
      </c>
      <c r="D46">
        <f>VLOOKUP(B46,人口データテーブル!$J$42:$P$57,MATCH(A46,人口データテーブル!$J$42:$P$42,0),FALSE)</f>
        <v>1234</v>
      </c>
      <c r="G46" s="39" t="s">
        <v>270</v>
      </c>
      <c r="H46">
        <f>ROUND($C46*年齢階級別男女別世帯主割合!B51,0)</f>
        <v>94</v>
      </c>
      <c r="I46">
        <f>ROUND($C46*年齢階級別男女別世帯主割合!C51,0)</f>
        <v>236</v>
      </c>
      <c r="J46">
        <f>ROUND($C46*年齢階級別男女別世帯主割合!D51,0)</f>
        <v>72</v>
      </c>
      <c r="K46">
        <f>ROUND($C46*年齢階級別男女別世帯主割合!E51,0)</f>
        <v>28</v>
      </c>
      <c r="L46">
        <f>ROUND($C46*年齢階級別男女別世帯主割合!F51,0)</f>
        <v>75</v>
      </c>
      <c r="M46">
        <f>ROUND($D46*年齢階級別男女別世帯主割合!G51,0)</f>
        <v>285</v>
      </c>
      <c r="N46">
        <f>ROUND($D46*年齢階級別男女別世帯主割合!H51,0)</f>
        <v>0</v>
      </c>
      <c r="O46">
        <f>ROUND($D46*年齢階級別男女別世帯主割合!I51,0)</f>
        <v>0</v>
      </c>
      <c r="P46">
        <f>ROUND($D46*年齢階級別男女別世帯主割合!J51,0)</f>
        <v>60</v>
      </c>
      <c r="Q46">
        <f>ROUND($D46*年齢階級別男女別世帯主割合!K51,0)</f>
        <v>23</v>
      </c>
      <c r="S46" s="39" t="s">
        <v>270</v>
      </c>
      <c r="T46">
        <f t="shared" si="2"/>
        <v>94</v>
      </c>
      <c r="U46">
        <f t="shared" si="3"/>
        <v>285</v>
      </c>
      <c r="V46">
        <f t="shared" si="4"/>
        <v>236</v>
      </c>
      <c r="W46">
        <f t="shared" si="5"/>
        <v>72</v>
      </c>
      <c r="X46">
        <f t="shared" si="6"/>
        <v>88</v>
      </c>
      <c r="Y46">
        <f t="shared" si="7"/>
        <v>98</v>
      </c>
      <c r="AD46" t="str">
        <f t="shared" si="8"/>
        <v>85</v>
      </c>
      <c r="AE46" s="39" t="s">
        <v>270</v>
      </c>
      <c r="AF46">
        <f t="shared" si="9"/>
        <v>379</v>
      </c>
    </row>
    <row r="47" spans="1:32" x14ac:dyDescent="0.45">
      <c r="A47" t="str">
        <f t="shared" si="0"/>
        <v>2030年</v>
      </c>
      <c r="B47" t="str">
        <f t="shared" si="1"/>
        <v>20歳未満</v>
      </c>
      <c r="C47">
        <f>VLOOKUP(B47,人口データテーブル!$J$23:$P$38,MATCH(A47,人口データテーブル!$J$23:$P$23,0),FALSE)</f>
        <v>7799</v>
      </c>
      <c r="D47">
        <f>VLOOKUP(B47,人口データテーブル!$J$42:$P$57,MATCH(A47,人口データテーブル!$J$42:$P$42,0),FALSE)</f>
        <v>7599</v>
      </c>
      <c r="F47" t="s">
        <v>225</v>
      </c>
      <c r="G47" s="40" t="s">
        <v>271</v>
      </c>
      <c r="H47">
        <f>ROUND($C47*年齢階級別男女別世帯主割合!B53,0)</f>
        <v>166</v>
      </c>
      <c r="I47">
        <f>ROUND($C47*年齢階級別男女別世帯主割合!C53,0)</f>
        <v>1</v>
      </c>
      <c r="J47">
        <f>ROUND($C47*年齢階級別男女別世帯主割合!D53,0)</f>
        <v>1</v>
      </c>
      <c r="K47">
        <f>ROUND($C47*年齢階級別男女別世帯主割合!E53,0)</f>
        <v>0</v>
      </c>
      <c r="L47">
        <f>ROUND($C47*年齢階級別男女別世帯主割合!F53,0)</f>
        <v>1</v>
      </c>
      <c r="M47">
        <f>ROUND($D47*年齢階級別男女別世帯主割合!G53,0)</f>
        <v>100</v>
      </c>
      <c r="N47">
        <f>ROUND($D47*年齢階級別男女別世帯主割合!H53,0)</f>
        <v>0</v>
      </c>
      <c r="O47">
        <f>ROUND($D47*年齢階級別男女別世帯主割合!I53,0)</f>
        <v>0</v>
      </c>
      <c r="P47">
        <f>ROUND($D47*年齢階級別男女別世帯主割合!J53,0)</f>
        <v>1</v>
      </c>
      <c r="Q47">
        <f>ROUND($D47*年齢階級別男女別世帯主割合!K53,0)</f>
        <v>1</v>
      </c>
      <c r="S47" s="40" t="s">
        <v>271</v>
      </c>
      <c r="T47">
        <f t="shared" si="2"/>
        <v>166</v>
      </c>
      <c r="U47">
        <f t="shared" si="3"/>
        <v>100</v>
      </c>
      <c r="V47">
        <f t="shared" si="4"/>
        <v>1</v>
      </c>
      <c r="W47">
        <f t="shared" si="5"/>
        <v>1</v>
      </c>
      <c r="X47">
        <f t="shared" si="6"/>
        <v>1</v>
      </c>
      <c r="Y47">
        <f t="shared" si="7"/>
        <v>2</v>
      </c>
      <c r="AD47" t="str">
        <f t="shared" si="8"/>
        <v>20</v>
      </c>
      <c r="AE47" s="40" t="s">
        <v>271</v>
      </c>
      <c r="AF47">
        <f t="shared" si="9"/>
        <v>266</v>
      </c>
    </row>
    <row r="48" spans="1:32" x14ac:dyDescent="0.45">
      <c r="A48" t="str">
        <f t="shared" si="0"/>
        <v>2030年</v>
      </c>
      <c r="B48" t="str">
        <f t="shared" si="1"/>
        <v>20-24歳</v>
      </c>
      <c r="C48">
        <f>VLOOKUP(B48,人口データテーブル!$J$23:$P$38,MATCH(A48,人口データテーブル!$J$23:$P$23,0),FALSE)</f>
        <v>2608</v>
      </c>
      <c r="D48">
        <f>VLOOKUP(B48,人口データテーブル!$J$42:$P$57,MATCH(A48,人口データテーブル!$J$42:$P$42,0),FALSE)</f>
        <v>2607</v>
      </c>
      <c r="F48" t="s">
        <v>225</v>
      </c>
      <c r="G48" s="40" t="s">
        <v>272</v>
      </c>
      <c r="H48">
        <f>ROUND($C48*年齢階級別男女別世帯主割合!B54,0)</f>
        <v>818</v>
      </c>
      <c r="I48">
        <f>ROUND($C48*年齢階級別男女別世帯主割合!C54,0)</f>
        <v>30</v>
      </c>
      <c r="J48">
        <f>ROUND($C48*年齢階級別男女別世帯主割合!D54,0)</f>
        <v>49</v>
      </c>
      <c r="K48">
        <f>ROUND($C48*年齢階級別男女別世帯主割合!E54,0)</f>
        <v>5</v>
      </c>
      <c r="L48">
        <f>ROUND($C48*年齢階級別男女別世帯主割合!F54,0)</f>
        <v>23</v>
      </c>
      <c r="M48">
        <f>ROUND($D48*年齢階級別男女別世帯主割合!G54,0)</f>
        <v>524</v>
      </c>
      <c r="N48">
        <f>ROUND($D48*年齢階級別男女別世帯主割合!H54,0)</f>
        <v>2</v>
      </c>
      <c r="O48">
        <f>ROUND($D48*年齢階級別男女別世帯主割合!I54,0)</f>
        <v>1</v>
      </c>
      <c r="P48">
        <f>ROUND($D48*年齢階級別男女別世帯主割合!J54,0)</f>
        <v>18</v>
      </c>
      <c r="Q48">
        <f>ROUND($D48*年齢階級別男女別世帯主割合!K54,0)</f>
        <v>17</v>
      </c>
      <c r="S48" s="40" t="s">
        <v>272</v>
      </c>
      <c r="T48">
        <f t="shared" si="2"/>
        <v>818</v>
      </c>
      <c r="U48">
        <f t="shared" si="3"/>
        <v>524</v>
      </c>
      <c r="V48">
        <f t="shared" si="4"/>
        <v>32</v>
      </c>
      <c r="W48">
        <f t="shared" si="5"/>
        <v>50</v>
      </c>
      <c r="X48">
        <f t="shared" si="6"/>
        <v>23</v>
      </c>
      <c r="Y48">
        <f t="shared" si="7"/>
        <v>40</v>
      </c>
      <c r="AD48" t="str">
        <f t="shared" si="8"/>
        <v>20</v>
      </c>
      <c r="AE48" s="40" t="s">
        <v>272</v>
      </c>
      <c r="AF48">
        <f t="shared" si="9"/>
        <v>1342</v>
      </c>
    </row>
    <row r="49" spans="1:32" x14ac:dyDescent="0.45">
      <c r="A49" t="str">
        <f t="shared" si="0"/>
        <v>2030年</v>
      </c>
      <c r="B49" t="str">
        <f t="shared" si="1"/>
        <v>25-29歳</v>
      </c>
      <c r="C49">
        <f>VLOOKUP(B49,人口データテーブル!$J$23:$P$38,MATCH(A49,人口データテーブル!$J$23:$P$23,0),FALSE)</f>
        <v>1612</v>
      </c>
      <c r="D49">
        <f>VLOOKUP(B49,人口データテーブル!$J$42:$P$57,MATCH(A49,人口データテーブル!$J$42:$P$42,0),FALSE)</f>
        <v>1880</v>
      </c>
      <c r="F49" t="s">
        <v>225</v>
      </c>
      <c r="G49" s="40" t="s">
        <v>273</v>
      </c>
      <c r="H49">
        <f>ROUND($C49*年齢階級別男女別世帯主割合!B55,0)</f>
        <v>542</v>
      </c>
      <c r="I49">
        <f>ROUND($C49*年齢階級別男女別世帯主割合!C55,0)</f>
        <v>150</v>
      </c>
      <c r="J49">
        <f>ROUND($C49*年齢階級別男女別世帯主割合!D55,0)</f>
        <v>183</v>
      </c>
      <c r="K49">
        <f>ROUND($C49*年齢階級別男女別世帯主割合!E55,0)</f>
        <v>9</v>
      </c>
      <c r="L49">
        <f>ROUND($C49*年齢階級別男女別世帯主割合!F55,0)</f>
        <v>29</v>
      </c>
      <c r="M49">
        <f>ROUND($D49*年齢階級別男女別世帯主割合!G55,0)</f>
        <v>343</v>
      </c>
      <c r="N49">
        <f>ROUND($D49*年齢階級別男女別世帯主割合!H55,0)</f>
        <v>9</v>
      </c>
      <c r="O49">
        <f>ROUND($D49*年齢階級別男女別世帯主割合!I55,0)</f>
        <v>5</v>
      </c>
      <c r="P49">
        <f>ROUND($D49*年齢階級別男女別世帯主割合!J55,0)</f>
        <v>53</v>
      </c>
      <c r="Q49">
        <f>ROUND($D49*年齢階級別男女別世帯主割合!K55,0)</f>
        <v>14</v>
      </c>
      <c r="S49" s="40" t="s">
        <v>273</v>
      </c>
      <c r="T49">
        <f t="shared" si="2"/>
        <v>542</v>
      </c>
      <c r="U49">
        <f t="shared" si="3"/>
        <v>343</v>
      </c>
      <c r="V49">
        <f t="shared" si="4"/>
        <v>159</v>
      </c>
      <c r="W49">
        <f t="shared" si="5"/>
        <v>188</v>
      </c>
      <c r="X49">
        <f t="shared" si="6"/>
        <v>62</v>
      </c>
      <c r="Y49">
        <f t="shared" si="7"/>
        <v>43</v>
      </c>
      <c r="AD49" t="str">
        <f t="shared" si="8"/>
        <v>25</v>
      </c>
      <c r="AE49" s="40" t="s">
        <v>273</v>
      </c>
      <c r="AF49">
        <f t="shared" si="9"/>
        <v>885</v>
      </c>
    </row>
    <row r="50" spans="1:32" x14ac:dyDescent="0.45">
      <c r="A50" t="str">
        <f t="shared" si="0"/>
        <v>2030年</v>
      </c>
      <c r="B50" t="str">
        <f t="shared" si="1"/>
        <v>30-34歳</v>
      </c>
      <c r="C50">
        <f>VLOOKUP(B50,人口データテーブル!$J$23:$P$38,MATCH(A50,人口データテーブル!$J$23:$P$23,0),FALSE)</f>
        <v>1960</v>
      </c>
      <c r="D50">
        <f>VLOOKUP(B50,人口データテーブル!$J$42:$P$57,MATCH(A50,人口データテーブル!$J$42:$P$42,0),FALSE)</f>
        <v>2171</v>
      </c>
      <c r="F50" t="s">
        <v>225</v>
      </c>
      <c r="G50" s="40" t="s">
        <v>274</v>
      </c>
      <c r="H50">
        <f>ROUND($C50*年齢階級別男女別世帯主割合!B56,0)</f>
        <v>500</v>
      </c>
      <c r="I50">
        <f>ROUND($C50*年齢階級別男女別世帯主割合!C56,0)</f>
        <v>229</v>
      </c>
      <c r="J50">
        <f>ROUND($C50*年齢階級別男女別世帯主割合!D56,0)</f>
        <v>598</v>
      </c>
      <c r="K50">
        <f>ROUND($C50*年齢階級別男女別世帯主割合!E56,0)</f>
        <v>14</v>
      </c>
      <c r="L50">
        <f>ROUND($C50*年齢階級別男女別世帯主割合!F56,0)</f>
        <v>39</v>
      </c>
      <c r="M50">
        <f>ROUND($D50*年齢階級別男女別世帯主割合!G56,0)</f>
        <v>250</v>
      </c>
      <c r="N50">
        <f>ROUND($D50*年齢階級別男女別世帯主割合!H56,0)</f>
        <v>10</v>
      </c>
      <c r="O50">
        <f>ROUND($D50*年齢階級別男女別世帯主割合!I56,0)</f>
        <v>12</v>
      </c>
      <c r="P50">
        <f>ROUND($D50*年齢階級別男女別世帯主割合!J56,0)</f>
        <v>110</v>
      </c>
      <c r="Q50">
        <f>ROUND($D50*年齢階級別男女別世帯主割合!K56,0)</f>
        <v>11</v>
      </c>
      <c r="S50" s="40" t="s">
        <v>274</v>
      </c>
      <c r="T50">
        <f t="shared" si="2"/>
        <v>500</v>
      </c>
      <c r="U50">
        <f t="shared" si="3"/>
        <v>250</v>
      </c>
      <c r="V50">
        <f t="shared" si="4"/>
        <v>239</v>
      </c>
      <c r="W50">
        <f t="shared" si="5"/>
        <v>610</v>
      </c>
      <c r="X50">
        <f t="shared" si="6"/>
        <v>124</v>
      </c>
      <c r="Y50">
        <f t="shared" si="7"/>
        <v>50</v>
      </c>
      <c r="AD50" t="str">
        <f t="shared" si="8"/>
        <v>30</v>
      </c>
      <c r="AE50" s="40" t="s">
        <v>274</v>
      </c>
      <c r="AF50">
        <f t="shared" si="9"/>
        <v>750</v>
      </c>
    </row>
    <row r="51" spans="1:32" x14ac:dyDescent="0.45">
      <c r="A51" t="str">
        <f t="shared" si="0"/>
        <v>2030年</v>
      </c>
      <c r="B51" t="str">
        <f t="shared" si="1"/>
        <v>35-39歳</v>
      </c>
      <c r="C51">
        <f>VLOOKUP(B51,人口データテーブル!$J$23:$P$38,MATCH(A51,人口データテーブル!$J$23:$P$23,0),FALSE)</f>
        <v>2010</v>
      </c>
      <c r="D51">
        <f>VLOOKUP(B51,人口データテーブル!$J$42:$P$57,MATCH(A51,人口データテーブル!$J$42:$P$42,0),FALSE)</f>
        <v>2174</v>
      </c>
      <c r="F51" t="s">
        <v>225</v>
      </c>
      <c r="G51" s="40" t="s">
        <v>275</v>
      </c>
      <c r="H51">
        <f>ROUND($C51*年齢階級別男女別世帯主割合!B57,0)</f>
        <v>416</v>
      </c>
      <c r="I51">
        <f>ROUND($C51*年齢階級別男女別世帯主割合!C57,0)</f>
        <v>182</v>
      </c>
      <c r="J51">
        <f>ROUND($C51*年齢階級別男女別世帯主割合!D57,0)</f>
        <v>865</v>
      </c>
      <c r="K51">
        <f>ROUND($C51*年齢階級別男女別世帯主割合!E57,0)</f>
        <v>23</v>
      </c>
      <c r="L51">
        <f>ROUND($C51*年齢階級別男女別世帯主割合!F57,0)</f>
        <v>53</v>
      </c>
      <c r="M51">
        <f>ROUND($D51*年齢階級別男女別世帯主割合!G57,0)</f>
        <v>197</v>
      </c>
      <c r="N51">
        <f>ROUND($D51*年齢階級別男女別世帯主割合!H57,0)</f>
        <v>6</v>
      </c>
      <c r="O51">
        <f>ROUND($D51*年齢階級別男女別世帯主割合!I57,0)</f>
        <v>11</v>
      </c>
      <c r="P51">
        <f>ROUND($D51*年齢階級別男女別世帯主割合!J57,0)</f>
        <v>151</v>
      </c>
      <c r="Q51">
        <f>ROUND($D51*年齢階級別男女別世帯主割合!K57,0)</f>
        <v>13</v>
      </c>
      <c r="S51" s="40" t="s">
        <v>275</v>
      </c>
      <c r="T51">
        <f t="shared" si="2"/>
        <v>416</v>
      </c>
      <c r="U51">
        <f t="shared" si="3"/>
        <v>197</v>
      </c>
      <c r="V51">
        <f t="shared" si="4"/>
        <v>188</v>
      </c>
      <c r="W51">
        <f t="shared" si="5"/>
        <v>876</v>
      </c>
      <c r="X51">
        <f t="shared" si="6"/>
        <v>174</v>
      </c>
      <c r="Y51">
        <f t="shared" si="7"/>
        <v>66</v>
      </c>
      <c r="AD51" t="str">
        <f t="shared" si="8"/>
        <v>35</v>
      </c>
      <c r="AE51" s="40" t="s">
        <v>275</v>
      </c>
      <c r="AF51">
        <f t="shared" si="9"/>
        <v>613</v>
      </c>
    </row>
    <row r="52" spans="1:32" x14ac:dyDescent="0.45">
      <c r="A52" t="str">
        <f t="shared" si="0"/>
        <v>2030年</v>
      </c>
      <c r="B52" t="str">
        <f t="shared" si="1"/>
        <v>40-44歳</v>
      </c>
      <c r="C52">
        <f>VLOOKUP(B52,人口データテーブル!$J$23:$P$38,MATCH(A52,人口データテーブル!$J$23:$P$23,0),FALSE)</f>
        <v>2053</v>
      </c>
      <c r="D52">
        <f>VLOOKUP(B52,人口データテーブル!$J$42:$P$57,MATCH(A52,人口データテーブル!$J$42:$P$42,0),FALSE)</f>
        <v>2210</v>
      </c>
      <c r="F52" t="s">
        <v>225</v>
      </c>
      <c r="G52" s="40" t="s">
        <v>276</v>
      </c>
      <c r="H52">
        <f>ROUND($C52*年齢階級別男女別世帯主割合!B58,0)</f>
        <v>394</v>
      </c>
      <c r="I52">
        <f>ROUND($C52*年齢階級別男女別世帯主割合!C58,0)</f>
        <v>161</v>
      </c>
      <c r="J52">
        <f>ROUND($C52*年齢階級別男女別世帯主割合!D58,0)</f>
        <v>974</v>
      </c>
      <c r="K52">
        <f>ROUND($C52*年齢階級別男女別世帯主割合!E58,0)</f>
        <v>48</v>
      </c>
      <c r="L52">
        <f>ROUND($C52*年齢階級別男女別世帯主割合!F58,0)</f>
        <v>81</v>
      </c>
      <c r="M52">
        <f>ROUND($D52*年齢階級別男女別世帯主割合!G58,0)</f>
        <v>188</v>
      </c>
      <c r="N52">
        <f>ROUND($D52*年齢階級別男女別世帯主割合!H58,0)</f>
        <v>4</v>
      </c>
      <c r="O52">
        <f>ROUND($D52*年齢階級別男女別世帯主割合!I58,0)</f>
        <v>11</v>
      </c>
      <c r="P52">
        <f>ROUND($D52*年齢階級別男女別世帯主割合!J58,0)</f>
        <v>204</v>
      </c>
      <c r="Q52">
        <f>ROUND($D52*年齢階級別男女別世帯主割合!K58,0)</f>
        <v>21</v>
      </c>
      <c r="S52" s="40" t="s">
        <v>276</v>
      </c>
      <c r="T52">
        <f t="shared" si="2"/>
        <v>394</v>
      </c>
      <c r="U52">
        <f t="shared" si="3"/>
        <v>188</v>
      </c>
      <c r="V52">
        <f t="shared" si="4"/>
        <v>165</v>
      </c>
      <c r="W52">
        <f t="shared" si="5"/>
        <v>985</v>
      </c>
      <c r="X52">
        <f t="shared" si="6"/>
        <v>252</v>
      </c>
      <c r="Y52">
        <f t="shared" si="7"/>
        <v>102</v>
      </c>
      <c r="AD52" t="str">
        <f t="shared" si="8"/>
        <v>40</v>
      </c>
      <c r="AE52" s="40" t="s">
        <v>276</v>
      </c>
      <c r="AF52">
        <f t="shared" si="9"/>
        <v>582</v>
      </c>
    </row>
    <row r="53" spans="1:32" x14ac:dyDescent="0.45">
      <c r="A53" t="str">
        <f t="shared" si="0"/>
        <v>2030年</v>
      </c>
      <c r="B53" t="str">
        <f t="shared" si="1"/>
        <v>45-49歳</v>
      </c>
      <c r="C53">
        <f>VLOOKUP(B53,人口データテーブル!$J$23:$P$38,MATCH(A53,人口データテーブル!$J$23:$P$23,0),FALSE)</f>
        <v>2168</v>
      </c>
      <c r="D53">
        <f>VLOOKUP(B53,人口データテーブル!$J$42:$P$57,MATCH(A53,人口データテーブル!$J$42:$P$42,0),FALSE)</f>
        <v>2387</v>
      </c>
      <c r="F53" t="s">
        <v>225</v>
      </c>
      <c r="G53" s="40" t="s">
        <v>277</v>
      </c>
      <c r="H53">
        <f>ROUND($C53*年齢階級別男女別世帯主割合!B59,0)</f>
        <v>420</v>
      </c>
      <c r="I53">
        <f>ROUND($C53*年齢階級別男女別世帯主割合!C59,0)</f>
        <v>189</v>
      </c>
      <c r="J53">
        <f>ROUND($C53*年齢階級別男女別世帯主割合!D59,0)</f>
        <v>1012</v>
      </c>
      <c r="K53">
        <f>ROUND($C53*年齢階級別男女別世帯主割合!E59,0)</f>
        <v>81</v>
      </c>
      <c r="L53">
        <f>ROUND($C53*年齢階級別男女別世帯主割合!F59,0)</f>
        <v>117</v>
      </c>
      <c r="M53">
        <f>ROUND($D53*年齢階級別男女別世帯主割合!G59,0)</f>
        <v>223</v>
      </c>
      <c r="N53">
        <f>ROUND($D53*年齢階級別男女別世帯主割合!H59,0)</f>
        <v>5</v>
      </c>
      <c r="O53">
        <f>ROUND($D53*年齢階級別男女別世帯主割合!I59,0)</f>
        <v>10</v>
      </c>
      <c r="P53">
        <f>ROUND($D53*年齢階級別男女別世帯主割合!J59,0)</f>
        <v>247</v>
      </c>
      <c r="Q53">
        <f>ROUND($D53*年齢階級別男女別世帯主割合!K59,0)</f>
        <v>34</v>
      </c>
      <c r="S53" s="40" t="s">
        <v>277</v>
      </c>
      <c r="T53">
        <f t="shared" si="2"/>
        <v>420</v>
      </c>
      <c r="U53">
        <f t="shared" si="3"/>
        <v>223</v>
      </c>
      <c r="V53">
        <f t="shared" si="4"/>
        <v>194</v>
      </c>
      <c r="W53">
        <f t="shared" si="5"/>
        <v>1022</v>
      </c>
      <c r="X53">
        <f t="shared" si="6"/>
        <v>328</v>
      </c>
      <c r="Y53">
        <f t="shared" si="7"/>
        <v>151</v>
      </c>
      <c r="AD53" t="str">
        <f t="shared" si="8"/>
        <v>45</v>
      </c>
      <c r="AE53" s="40" t="s">
        <v>277</v>
      </c>
      <c r="AF53">
        <f t="shared" si="9"/>
        <v>643</v>
      </c>
    </row>
    <row r="54" spans="1:32" x14ac:dyDescent="0.45">
      <c r="A54" t="str">
        <f t="shared" si="0"/>
        <v>2030年</v>
      </c>
      <c r="B54" t="str">
        <f t="shared" si="1"/>
        <v>50-54歳</v>
      </c>
      <c r="C54">
        <f>VLOOKUP(B54,人口データテーブル!$J$23:$P$38,MATCH(A54,人口データテーブル!$J$23:$P$23,0),FALSE)</f>
        <v>2313</v>
      </c>
      <c r="D54">
        <f>VLOOKUP(B54,人口データテーブル!$J$42:$P$57,MATCH(A54,人口データテーブル!$J$42:$P$42,0),FALSE)</f>
        <v>2476</v>
      </c>
      <c r="F54" t="s">
        <v>225</v>
      </c>
      <c r="G54" s="40" t="s">
        <v>278</v>
      </c>
      <c r="H54">
        <f>ROUND($C54*年齢階級別男女別世帯主割合!B60,0)</f>
        <v>453</v>
      </c>
      <c r="I54">
        <f>ROUND($C54*年齢階級別男女別世帯主割合!C60,0)</f>
        <v>279</v>
      </c>
      <c r="J54">
        <f>ROUND($C54*年齢階級別男女別世帯主割合!D60,0)</f>
        <v>998</v>
      </c>
      <c r="K54">
        <f>ROUND($C54*年齢階級別男女別世帯主割合!E60,0)</f>
        <v>122</v>
      </c>
      <c r="L54">
        <f>ROUND($C54*年齢階級別男女別世帯主割合!F60,0)</f>
        <v>166</v>
      </c>
      <c r="M54">
        <f>ROUND($D54*年齢階級別男女別世帯主割合!G60,0)</f>
        <v>277</v>
      </c>
      <c r="N54">
        <f>ROUND($D54*年齢階級別男女別世帯主割合!H60,0)</f>
        <v>6</v>
      </c>
      <c r="O54">
        <f>ROUND($D54*年齢階級別男女別世帯主割合!I60,0)</f>
        <v>8</v>
      </c>
      <c r="P54">
        <f>ROUND($D54*年齢階級別男女別世帯主割合!J60,0)</f>
        <v>231</v>
      </c>
      <c r="Q54">
        <f>ROUND($D54*年齢階級別男女別世帯主割合!K60,0)</f>
        <v>38</v>
      </c>
      <c r="S54" s="40" t="s">
        <v>278</v>
      </c>
      <c r="T54">
        <f t="shared" si="2"/>
        <v>453</v>
      </c>
      <c r="U54">
        <f t="shared" si="3"/>
        <v>277</v>
      </c>
      <c r="V54">
        <f t="shared" si="4"/>
        <v>285</v>
      </c>
      <c r="W54">
        <f t="shared" si="5"/>
        <v>1006</v>
      </c>
      <c r="X54">
        <f t="shared" si="6"/>
        <v>353</v>
      </c>
      <c r="Y54">
        <f t="shared" si="7"/>
        <v>204</v>
      </c>
      <c r="AD54" t="str">
        <f t="shared" si="8"/>
        <v>50</v>
      </c>
      <c r="AE54" s="40" t="s">
        <v>278</v>
      </c>
      <c r="AF54">
        <f t="shared" si="9"/>
        <v>730</v>
      </c>
    </row>
    <row r="55" spans="1:32" x14ac:dyDescent="0.45">
      <c r="A55" t="str">
        <f t="shared" si="0"/>
        <v>2030年</v>
      </c>
      <c r="B55" t="str">
        <f t="shared" si="1"/>
        <v>55-59歳</v>
      </c>
      <c r="C55">
        <f>VLOOKUP(B55,人口データテーブル!$J$23:$P$38,MATCH(A55,人口データテーブル!$J$23:$P$23,0),FALSE)</f>
        <v>2351</v>
      </c>
      <c r="D55">
        <f>VLOOKUP(B55,人口データテーブル!$J$42:$P$57,MATCH(A55,人口データテーブル!$J$42:$P$42,0),FALSE)</f>
        <v>2622</v>
      </c>
      <c r="F55" t="s">
        <v>225</v>
      </c>
      <c r="G55" s="40" t="s">
        <v>279</v>
      </c>
      <c r="H55">
        <f>ROUND($C55*年齢階級別男女別世帯主割合!B61,0)</f>
        <v>515</v>
      </c>
      <c r="I55">
        <f>ROUND($C55*年齢階級別男女別世帯主割合!C61,0)</f>
        <v>450</v>
      </c>
      <c r="J55">
        <f>ROUND($C55*年齢階級別男女別世帯主割合!D61,0)</f>
        <v>826</v>
      </c>
      <c r="K55">
        <f>ROUND($C55*年齢階級別男女別世帯主割合!E61,0)</f>
        <v>124</v>
      </c>
      <c r="L55">
        <f>ROUND($C55*年齢階級別男女別世帯主割合!F61,0)</f>
        <v>211</v>
      </c>
      <c r="M55">
        <f>ROUND($D55*年齢階級別男女別世帯主割合!G61,0)</f>
        <v>348</v>
      </c>
      <c r="N55">
        <f>ROUND($D55*年齢階級別男女別世帯主割合!H61,0)</f>
        <v>7</v>
      </c>
      <c r="O55">
        <f>ROUND($D55*年齢階級別男女別世帯主割合!I61,0)</f>
        <v>6</v>
      </c>
      <c r="P55">
        <f>ROUND($D55*年齢階級別男女別世帯主割合!J61,0)</f>
        <v>183</v>
      </c>
      <c r="Q55">
        <f>ROUND($D55*年齢階級別男女別世帯主割合!K61,0)</f>
        <v>45</v>
      </c>
      <c r="S55" s="40" t="s">
        <v>279</v>
      </c>
      <c r="T55">
        <f t="shared" si="2"/>
        <v>515</v>
      </c>
      <c r="U55">
        <f t="shared" si="3"/>
        <v>348</v>
      </c>
      <c r="V55">
        <f t="shared" si="4"/>
        <v>457</v>
      </c>
      <c r="W55">
        <f t="shared" si="5"/>
        <v>832</v>
      </c>
      <c r="X55">
        <f t="shared" si="6"/>
        <v>307</v>
      </c>
      <c r="Y55">
        <f t="shared" si="7"/>
        <v>256</v>
      </c>
      <c r="AD55" t="str">
        <f t="shared" si="8"/>
        <v>55</v>
      </c>
      <c r="AE55" s="40" t="s">
        <v>279</v>
      </c>
      <c r="AF55">
        <f t="shared" si="9"/>
        <v>863</v>
      </c>
    </row>
    <row r="56" spans="1:32" x14ac:dyDescent="0.45">
      <c r="A56" t="str">
        <f t="shared" si="0"/>
        <v>2030年</v>
      </c>
      <c r="B56" t="str">
        <f t="shared" si="1"/>
        <v>60-64歳</v>
      </c>
      <c r="C56">
        <f>VLOOKUP(B56,人口データテーブル!$J$23:$P$38,MATCH(A56,人口データテーブル!$J$23:$P$23,0),FALSE)</f>
        <v>1941</v>
      </c>
      <c r="D56">
        <f>VLOOKUP(B56,人口データテーブル!$J$42:$P$57,MATCH(A56,人口データテーブル!$J$42:$P$42,0),FALSE)</f>
        <v>2009</v>
      </c>
      <c r="F56" t="s">
        <v>225</v>
      </c>
      <c r="G56" s="40" t="s">
        <v>280</v>
      </c>
      <c r="H56">
        <f>ROUND($C56*年齢階級別男女別世帯主割合!B62,0)</f>
        <v>451</v>
      </c>
      <c r="I56">
        <f>ROUND($C56*年齢階級別男女別世帯主割合!C62,0)</f>
        <v>536</v>
      </c>
      <c r="J56">
        <f>ROUND($C56*年齢階級別男女別世帯主割合!D62,0)</f>
        <v>528</v>
      </c>
      <c r="K56">
        <f>ROUND($C56*年齢階級別男女別世帯主割合!E62,0)</f>
        <v>93</v>
      </c>
      <c r="L56">
        <f>ROUND($C56*年齢階級別男女別世帯主割合!F62,0)</f>
        <v>192</v>
      </c>
      <c r="M56">
        <f>ROUND($D56*年齢階級別男女別世帯主割合!G62,0)</f>
        <v>298</v>
      </c>
      <c r="N56">
        <f>ROUND($D56*年齢階級別男女別世帯主割合!H62,0)</f>
        <v>5</v>
      </c>
      <c r="O56">
        <f>ROUND($D56*年齢階級別男女別世帯主割合!I62,0)</f>
        <v>3</v>
      </c>
      <c r="P56">
        <f>ROUND($D56*年齢階級別男女別世帯主割合!J62,0)</f>
        <v>118</v>
      </c>
      <c r="Q56">
        <f>ROUND($D56*年齢階級別男女別世帯主割合!K62,0)</f>
        <v>32</v>
      </c>
      <c r="S56" s="40" t="s">
        <v>280</v>
      </c>
      <c r="T56">
        <f t="shared" si="2"/>
        <v>451</v>
      </c>
      <c r="U56">
        <f t="shared" si="3"/>
        <v>298</v>
      </c>
      <c r="V56">
        <f t="shared" si="4"/>
        <v>541</v>
      </c>
      <c r="W56">
        <f t="shared" si="5"/>
        <v>531</v>
      </c>
      <c r="X56">
        <f t="shared" si="6"/>
        <v>211</v>
      </c>
      <c r="Y56">
        <f t="shared" si="7"/>
        <v>224</v>
      </c>
      <c r="AD56" t="str">
        <f t="shared" si="8"/>
        <v>60</v>
      </c>
      <c r="AE56" s="40" t="s">
        <v>280</v>
      </c>
      <c r="AF56">
        <f t="shared" si="9"/>
        <v>749</v>
      </c>
    </row>
    <row r="57" spans="1:32" x14ac:dyDescent="0.45">
      <c r="A57" t="str">
        <f t="shared" si="0"/>
        <v>2030年</v>
      </c>
      <c r="B57" t="str">
        <f t="shared" si="1"/>
        <v>65-69歳</v>
      </c>
      <c r="C57">
        <f>VLOOKUP(B57,人口データテーブル!$J$23:$P$38,MATCH(A57,人口データテーブル!$J$23:$P$23,0),FALSE)</f>
        <v>1525</v>
      </c>
      <c r="D57">
        <f>VLOOKUP(B57,人口データテーブル!$J$42:$P$57,MATCH(A57,人口データテーブル!$J$42:$P$42,0),FALSE)</f>
        <v>1656</v>
      </c>
      <c r="G57" s="40" t="s">
        <v>281</v>
      </c>
      <c r="H57">
        <f>ROUND($C57*年齢階級別男女別世帯主割合!B63,0)</f>
        <v>325</v>
      </c>
      <c r="I57">
        <f>ROUND($C57*年齢階級別男女別世帯主割合!C63,0)</f>
        <v>556</v>
      </c>
      <c r="J57">
        <f>ROUND($C57*年齢階級別男女別世帯主割合!D63,0)</f>
        <v>339</v>
      </c>
      <c r="K57">
        <f>ROUND($C57*年齢階級別男女別世帯主割合!E63,0)</f>
        <v>57</v>
      </c>
      <c r="L57">
        <f>ROUND($C57*年齢階級別男女別世帯主割合!F63,0)</f>
        <v>149</v>
      </c>
      <c r="M57">
        <f>ROUND($D57*年齢階級別男女別世帯主割合!G63,0)</f>
        <v>270</v>
      </c>
      <c r="N57">
        <f>ROUND($D57*年齢階級別男女別世帯主割合!H63,0)</f>
        <v>4</v>
      </c>
      <c r="O57">
        <f>ROUND($D57*年齢階級別男女別世帯主割合!I63,0)</f>
        <v>1</v>
      </c>
      <c r="P57">
        <f>ROUND($D57*年齢階級別男女別世帯主割合!J63,0)</f>
        <v>97</v>
      </c>
      <c r="Q57">
        <f>ROUND($D57*年齢階級別男女別世帯主割合!K63,0)</f>
        <v>27</v>
      </c>
      <c r="S57" s="40" t="s">
        <v>281</v>
      </c>
      <c r="T57">
        <f t="shared" si="2"/>
        <v>325</v>
      </c>
      <c r="U57">
        <f t="shared" si="3"/>
        <v>270</v>
      </c>
      <c r="V57">
        <f t="shared" si="4"/>
        <v>560</v>
      </c>
      <c r="W57">
        <f t="shared" si="5"/>
        <v>340</v>
      </c>
      <c r="X57">
        <f t="shared" si="6"/>
        <v>154</v>
      </c>
      <c r="Y57">
        <f t="shared" si="7"/>
        <v>176</v>
      </c>
      <c r="AD57" t="str">
        <f t="shared" si="8"/>
        <v>65</v>
      </c>
      <c r="AE57" s="40" t="s">
        <v>281</v>
      </c>
      <c r="AF57">
        <f t="shared" si="9"/>
        <v>595</v>
      </c>
    </row>
    <row r="58" spans="1:32" x14ac:dyDescent="0.45">
      <c r="A58" t="str">
        <f t="shared" si="0"/>
        <v>2030年</v>
      </c>
      <c r="B58" t="str">
        <f t="shared" si="1"/>
        <v>70-74歳</v>
      </c>
      <c r="C58">
        <f>VLOOKUP(B58,人口データテーブル!$J$23:$P$38,MATCH(A58,人口データテーブル!$J$23:$P$23,0),FALSE)</f>
        <v>1128</v>
      </c>
      <c r="D58">
        <f>VLOOKUP(B58,人口データテーブル!$J$42:$P$57,MATCH(A58,人口データテーブル!$J$42:$P$42,0),FALSE)</f>
        <v>1306</v>
      </c>
      <c r="G58" s="40" t="s">
        <v>282</v>
      </c>
      <c r="H58">
        <f>ROUND($C58*年齢階級別男女別世帯主割合!B64,0)</f>
        <v>203</v>
      </c>
      <c r="I58">
        <f>ROUND($C58*年齢階級別男女別世帯主割合!C64,0)</f>
        <v>474</v>
      </c>
      <c r="J58">
        <f>ROUND($C58*年齢階級別男女別世帯主割合!D64,0)</f>
        <v>222</v>
      </c>
      <c r="K58">
        <f>ROUND($C58*年齢階級別男女別世帯主割合!E64,0)</f>
        <v>27</v>
      </c>
      <c r="L58">
        <f>ROUND($C58*年齢階級別男女別世帯主割合!F64,0)</f>
        <v>103</v>
      </c>
      <c r="M58">
        <f>ROUND($D58*年齢階級別男女別世帯主割合!G64,0)</f>
        <v>247</v>
      </c>
      <c r="N58">
        <f>ROUND($D58*年齢階級別男女別世帯主割合!H64,0)</f>
        <v>2</v>
      </c>
      <c r="O58">
        <f>ROUND($D58*年齢階級別男女別世帯主割合!I64,0)</f>
        <v>1</v>
      </c>
      <c r="P58">
        <f>ROUND($D58*年齢階級別男女別世帯主割合!J64,0)</f>
        <v>76</v>
      </c>
      <c r="Q58">
        <f>ROUND($D58*年齢階級別男女別世帯主割合!K64,0)</f>
        <v>22</v>
      </c>
      <c r="S58" s="40" t="s">
        <v>282</v>
      </c>
      <c r="T58">
        <f t="shared" si="2"/>
        <v>203</v>
      </c>
      <c r="U58">
        <f t="shared" si="3"/>
        <v>247</v>
      </c>
      <c r="V58">
        <f t="shared" si="4"/>
        <v>476</v>
      </c>
      <c r="W58">
        <f t="shared" si="5"/>
        <v>223</v>
      </c>
      <c r="X58">
        <f t="shared" si="6"/>
        <v>103</v>
      </c>
      <c r="Y58">
        <f t="shared" si="7"/>
        <v>125</v>
      </c>
      <c r="AD58" t="str">
        <f t="shared" si="8"/>
        <v>70</v>
      </c>
      <c r="AE58" s="40" t="s">
        <v>282</v>
      </c>
      <c r="AF58">
        <f t="shared" si="9"/>
        <v>450</v>
      </c>
    </row>
    <row r="59" spans="1:32" x14ac:dyDescent="0.45">
      <c r="A59" t="str">
        <f t="shared" si="0"/>
        <v>2030年</v>
      </c>
      <c r="B59" t="str">
        <f t="shared" si="1"/>
        <v>75-79歳</v>
      </c>
      <c r="C59">
        <f>VLOOKUP(B59,人口データテーブル!$J$23:$P$38,MATCH(A59,人口データテーブル!$J$23:$P$23,0),FALSE)</f>
        <v>1048</v>
      </c>
      <c r="D59">
        <f>VLOOKUP(B59,人口データテーブル!$J$42:$P$57,MATCH(A59,人口データテーブル!$J$42:$P$42,0),FALSE)</f>
        <v>1319</v>
      </c>
      <c r="G59" s="40" t="s">
        <v>283</v>
      </c>
      <c r="H59">
        <f>ROUND($C59*年齢階級別男女別世帯主割合!B65,0)</f>
        <v>165</v>
      </c>
      <c r="I59">
        <f>ROUND($C59*年齢階級別男女別世帯主割合!C65,0)</f>
        <v>474</v>
      </c>
      <c r="J59">
        <f>ROUND($C59*年齢階級別男女別世帯主割合!D65,0)</f>
        <v>190</v>
      </c>
      <c r="K59">
        <f>ROUND($C59*年齢階級別男女別世帯主割合!E65,0)</f>
        <v>24</v>
      </c>
      <c r="L59">
        <f>ROUND($C59*年齢階級別男女別世帯主割合!F65,0)</f>
        <v>96</v>
      </c>
      <c r="M59">
        <f>ROUND($D59*年齢階級別男女別世帯主割合!G65,0)</f>
        <v>314</v>
      </c>
      <c r="N59">
        <f>ROUND($D59*年齢階級別男女別世帯主割合!H65,0)</f>
        <v>2</v>
      </c>
      <c r="O59">
        <f>ROUND($D59*年齢階級別男女別世帯主割合!I65,0)</f>
        <v>0</v>
      </c>
      <c r="P59">
        <f>ROUND($D59*年齢階級別男女別世帯主割合!J65,0)</f>
        <v>83</v>
      </c>
      <c r="Q59">
        <f>ROUND($D59*年齢階級別男女別世帯主割合!K65,0)</f>
        <v>25</v>
      </c>
      <c r="S59" s="40" t="s">
        <v>283</v>
      </c>
      <c r="T59">
        <f t="shared" si="2"/>
        <v>165</v>
      </c>
      <c r="U59">
        <f t="shared" si="3"/>
        <v>314</v>
      </c>
      <c r="V59">
        <f t="shared" si="4"/>
        <v>476</v>
      </c>
      <c r="W59">
        <f t="shared" si="5"/>
        <v>190</v>
      </c>
      <c r="X59">
        <f t="shared" si="6"/>
        <v>107</v>
      </c>
      <c r="Y59">
        <f t="shared" si="7"/>
        <v>121</v>
      </c>
      <c r="AD59" t="str">
        <f t="shared" si="8"/>
        <v>75</v>
      </c>
      <c r="AE59" s="40" t="s">
        <v>283</v>
      </c>
      <c r="AF59">
        <f t="shared" si="9"/>
        <v>479</v>
      </c>
    </row>
    <row r="60" spans="1:32" x14ac:dyDescent="0.45">
      <c r="A60" t="str">
        <f t="shared" si="0"/>
        <v>2030年</v>
      </c>
      <c r="B60" t="str">
        <f t="shared" si="1"/>
        <v>80-84歳</v>
      </c>
      <c r="C60">
        <f>VLOOKUP(B60,人口データテーブル!$J$23:$P$38,MATCH(A60,人口データテーブル!$J$23:$P$23,0),FALSE)</f>
        <v>1043</v>
      </c>
      <c r="D60">
        <f>VLOOKUP(B60,人口データテーブル!$J$42:$P$57,MATCH(A60,人口データテーブル!$J$42:$P$42,0),FALSE)</f>
        <v>1418</v>
      </c>
      <c r="G60" s="40" t="s">
        <v>284</v>
      </c>
      <c r="H60">
        <f>ROUND($C60*年齢階級別男女別世帯主割合!B66,0)</f>
        <v>152</v>
      </c>
      <c r="I60">
        <f>ROUND($C60*年齢階級別男女別世帯主割合!C66,0)</f>
        <v>473</v>
      </c>
      <c r="J60">
        <f>ROUND($C60*年齢階級別男女別世帯主割合!D66,0)</f>
        <v>169</v>
      </c>
      <c r="K60">
        <f>ROUND($C60*年齢階級別男女別世帯主割合!E66,0)</f>
        <v>29</v>
      </c>
      <c r="L60">
        <f>ROUND($C60*年齢階級別男女別世帯主割合!F66,0)</f>
        <v>101</v>
      </c>
      <c r="M60">
        <f>ROUND($D60*年齢階級別男女別世帯主割合!G66,0)</f>
        <v>392</v>
      </c>
      <c r="N60">
        <f>ROUND($D60*年齢階級別男女別世帯主割合!H66,0)</f>
        <v>2</v>
      </c>
      <c r="O60">
        <f>ROUND($D60*年齢階級別男女別世帯主割合!I66,0)</f>
        <v>0</v>
      </c>
      <c r="P60">
        <f>ROUND($D60*年齢階級別男女別世帯主割合!J66,0)</f>
        <v>88</v>
      </c>
      <c r="Q60">
        <f>ROUND($D60*年齢階級別男女別世帯主割合!K66,0)</f>
        <v>29</v>
      </c>
      <c r="S60" s="40" t="s">
        <v>284</v>
      </c>
      <c r="T60">
        <f t="shared" si="2"/>
        <v>152</v>
      </c>
      <c r="U60">
        <f t="shared" si="3"/>
        <v>392</v>
      </c>
      <c r="V60">
        <f t="shared" si="4"/>
        <v>475</v>
      </c>
      <c r="W60">
        <f t="shared" si="5"/>
        <v>169</v>
      </c>
      <c r="X60">
        <f t="shared" si="6"/>
        <v>117</v>
      </c>
      <c r="Y60">
        <f t="shared" si="7"/>
        <v>130</v>
      </c>
      <c r="AD60" t="str">
        <f t="shared" si="8"/>
        <v>80</v>
      </c>
      <c r="AE60" s="40" t="s">
        <v>284</v>
      </c>
      <c r="AF60">
        <f t="shared" si="9"/>
        <v>544</v>
      </c>
    </row>
    <row r="61" spans="1:32" x14ac:dyDescent="0.45">
      <c r="A61" t="str">
        <f t="shared" si="0"/>
        <v>2030年</v>
      </c>
      <c r="B61" t="str">
        <f t="shared" si="1"/>
        <v>85歳以上</v>
      </c>
      <c r="C61">
        <f>VLOOKUP(B61,人口データテーブル!$J$23:$P$38,MATCH(A61,人口データテーブル!$J$23:$P$23,0),FALSE)</f>
        <v>885</v>
      </c>
      <c r="D61">
        <f>VLOOKUP(B61,人口データテーブル!$J$42:$P$57,MATCH(A61,人口データテーブル!$J$42:$P$42,0),FALSE)</f>
        <v>1672</v>
      </c>
      <c r="G61" s="40" t="s">
        <v>285</v>
      </c>
      <c r="H61">
        <f>ROUND($C61*年齢階級別男女別世帯主割合!B67,0)</f>
        <v>129</v>
      </c>
      <c r="I61">
        <f>ROUND($C61*年齢階級別男女別世帯主割合!C67,0)</f>
        <v>316</v>
      </c>
      <c r="J61">
        <f>ROUND($C61*年齢階級別男女別世帯主割合!D67,0)</f>
        <v>99</v>
      </c>
      <c r="K61">
        <f>ROUND($C61*年齢階級別男女別世帯主割合!E67,0)</f>
        <v>36</v>
      </c>
      <c r="L61">
        <f>ROUND($C61*年齢階級別男女別世帯主割合!F67,0)</f>
        <v>86</v>
      </c>
      <c r="M61">
        <f>ROUND($D61*年齢階級別男女別世帯主割合!G67,0)</f>
        <v>387</v>
      </c>
      <c r="N61">
        <f>ROUND($D61*年齢階級別男女別世帯主割合!H67,0)</f>
        <v>1</v>
      </c>
      <c r="O61">
        <f>ROUND($D61*年齢階級別男女別世帯主割合!I67,0)</f>
        <v>0</v>
      </c>
      <c r="P61">
        <f>ROUND($D61*年齢階級別男女別世帯主割合!J67,0)</f>
        <v>84</v>
      </c>
      <c r="Q61">
        <f>ROUND($D61*年齢階級別男女別世帯主割合!K67,0)</f>
        <v>30</v>
      </c>
      <c r="S61" s="40" t="s">
        <v>285</v>
      </c>
      <c r="T61">
        <f t="shared" si="2"/>
        <v>129</v>
      </c>
      <c r="U61">
        <f t="shared" si="3"/>
        <v>387</v>
      </c>
      <c r="V61">
        <f t="shared" si="4"/>
        <v>317</v>
      </c>
      <c r="W61">
        <f t="shared" si="5"/>
        <v>99</v>
      </c>
      <c r="X61">
        <f t="shared" si="6"/>
        <v>120</v>
      </c>
      <c r="Y61">
        <f t="shared" si="7"/>
        <v>116</v>
      </c>
      <c r="AD61" t="str">
        <f t="shared" si="8"/>
        <v>85</v>
      </c>
      <c r="AE61" s="40" t="s">
        <v>285</v>
      </c>
      <c r="AF61">
        <f t="shared" si="9"/>
        <v>516</v>
      </c>
    </row>
    <row r="62" spans="1:32" x14ac:dyDescent="0.45">
      <c r="A62" t="str">
        <f t="shared" si="0"/>
        <v>2035年</v>
      </c>
      <c r="B62" t="str">
        <f t="shared" si="1"/>
        <v>20歳未満</v>
      </c>
      <c r="C62">
        <f>VLOOKUP(B62,人口データテーブル!$J$23:$P$38,MATCH(A62,人口データテーブル!$J$23:$P$23,0),FALSE)</f>
        <v>7835</v>
      </c>
      <c r="D62">
        <f>VLOOKUP(B62,人口データテーブル!$J$42:$P$57,MATCH(A62,人口データテーブル!$J$42:$P$42,0),FALSE)</f>
        <v>7641</v>
      </c>
      <c r="F62" t="s">
        <v>225</v>
      </c>
      <c r="G62" s="39" t="s">
        <v>286</v>
      </c>
      <c r="H62">
        <f>ROUND($C62*年齢階級別男女別世帯主割合!B69,0)</f>
        <v>167</v>
      </c>
      <c r="I62">
        <f>ROUND($C62*年齢階級別男女別世帯主割合!C69,0)</f>
        <v>1</v>
      </c>
      <c r="J62">
        <f>ROUND($C62*年齢階級別男女別世帯主割合!D69,0)</f>
        <v>1</v>
      </c>
      <c r="K62">
        <f>ROUND($C62*年齢階級別男女別世帯主割合!E69,0)</f>
        <v>0</v>
      </c>
      <c r="L62">
        <f>ROUND($C62*年齢階級別男女別世帯主割合!F69,0)</f>
        <v>1</v>
      </c>
      <c r="M62">
        <f>ROUND($D62*年齢階級別男女別世帯主割合!G69,0)</f>
        <v>101</v>
      </c>
      <c r="N62">
        <f>ROUND($D62*年齢階級別男女別世帯主割合!H69,0)</f>
        <v>0</v>
      </c>
      <c r="O62">
        <f>ROUND($D62*年齢階級別男女別世帯主割合!I69,0)</f>
        <v>0</v>
      </c>
      <c r="P62">
        <f>ROUND($D62*年齢階級別男女別世帯主割合!J69,0)</f>
        <v>1</v>
      </c>
      <c r="Q62">
        <f>ROUND($D62*年齢階級別男女別世帯主割合!K69,0)</f>
        <v>1</v>
      </c>
      <c r="S62" s="39" t="s">
        <v>286</v>
      </c>
      <c r="T62">
        <f t="shared" si="2"/>
        <v>167</v>
      </c>
      <c r="U62">
        <f t="shared" si="3"/>
        <v>101</v>
      </c>
      <c r="V62">
        <f t="shared" si="4"/>
        <v>1</v>
      </c>
      <c r="W62">
        <f t="shared" si="5"/>
        <v>1</v>
      </c>
      <c r="X62">
        <f t="shared" si="6"/>
        <v>1</v>
      </c>
      <c r="Y62">
        <f t="shared" si="7"/>
        <v>2</v>
      </c>
      <c r="AD62" t="str">
        <f t="shared" si="8"/>
        <v>20</v>
      </c>
      <c r="AE62" s="39" t="s">
        <v>286</v>
      </c>
      <c r="AF62">
        <f t="shared" si="9"/>
        <v>268</v>
      </c>
    </row>
    <row r="63" spans="1:32" x14ac:dyDescent="0.45">
      <c r="A63" t="str">
        <f t="shared" si="0"/>
        <v>2035年</v>
      </c>
      <c r="B63" t="str">
        <f t="shared" si="1"/>
        <v>20-24歳</v>
      </c>
      <c r="C63">
        <f>VLOOKUP(B63,人口データテーブル!$J$23:$P$38,MATCH(A63,人口データテーブル!$J$23:$P$23,0),FALSE)</f>
        <v>2610</v>
      </c>
      <c r="D63">
        <f>VLOOKUP(B63,人口データテーブル!$J$42:$P$57,MATCH(A63,人口データテーブル!$J$42:$P$42,0),FALSE)</f>
        <v>2594</v>
      </c>
      <c r="F63" t="s">
        <v>225</v>
      </c>
      <c r="G63" s="39" t="s">
        <v>287</v>
      </c>
      <c r="H63">
        <f>ROUND($C63*年齢階級別男女別世帯主割合!B70,0)</f>
        <v>817</v>
      </c>
      <c r="I63">
        <f>ROUND($C63*年齢階級別男女別世帯主割合!C70,0)</f>
        <v>30</v>
      </c>
      <c r="J63">
        <f>ROUND($C63*年齢階級別男女別世帯主割合!D70,0)</f>
        <v>49</v>
      </c>
      <c r="K63">
        <f>ROUND($C63*年齢階級別男女別世帯主割合!E70,0)</f>
        <v>5</v>
      </c>
      <c r="L63">
        <f>ROUND($C63*年齢階級別男女別世帯主割合!F70,0)</f>
        <v>21</v>
      </c>
      <c r="M63">
        <f>ROUND($D63*年齢階級別男女別世帯主割合!G70,0)</f>
        <v>524</v>
      </c>
      <c r="N63">
        <f>ROUND($D63*年齢階級別男女別世帯主割合!H70,0)</f>
        <v>2</v>
      </c>
      <c r="O63">
        <f>ROUND($D63*年齢階級別男女別世帯主割合!I70,0)</f>
        <v>1</v>
      </c>
      <c r="P63">
        <f>ROUND($D63*年齢階級別男女別世帯主割合!J70,0)</f>
        <v>18</v>
      </c>
      <c r="Q63">
        <f>ROUND($D63*年齢階級別男女別世帯主割合!K70,0)</f>
        <v>17</v>
      </c>
      <c r="S63" s="39" t="s">
        <v>287</v>
      </c>
      <c r="T63">
        <f t="shared" si="2"/>
        <v>817</v>
      </c>
      <c r="U63">
        <f t="shared" si="3"/>
        <v>524</v>
      </c>
      <c r="V63">
        <f t="shared" si="4"/>
        <v>32</v>
      </c>
      <c r="W63">
        <f t="shared" si="5"/>
        <v>50</v>
      </c>
      <c r="X63">
        <f t="shared" si="6"/>
        <v>23</v>
      </c>
      <c r="Y63">
        <f t="shared" si="7"/>
        <v>38</v>
      </c>
      <c r="AD63" t="str">
        <f t="shared" si="8"/>
        <v>20</v>
      </c>
      <c r="AE63" s="39" t="s">
        <v>287</v>
      </c>
      <c r="AF63">
        <f t="shared" si="9"/>
        <v>1341</v>
      </c>
    </row>
    <row r="64" spans="1:32" x14ac:dyDescent="0.45">
      <c r="A64" t="str">
        <f t="shared" si="0"/>
        <v>2035年</v>
      </c>
      <c r="B64" t="str">
        <f t="shared" si="1"/>
        <v>25-29歳</v>
      </c>
      <c r="C64">
        <f>VLOOKUP(B64,人口データテーブル!$J$23:$P$38,MATCH(A64,人口データテーブル!$J$23:$P$23,0),FALSE)</f>
        <v>1597</v>
      </c>
      <c r="D64">
        <f>VLOOKUP(B64,人口データテーブル!$J$42:$P$57,MATCH(A64,人口データテーブル!$J$42:$P$42,0),FALSE)</f>
        <v>1877</v>
      </c>
      <c r="F64" t="s">
        <v>225</v>
      </c>
      <c r="G64" s="39" t="s">
        <v>288</v>
      </c>
      <c r="H64">
        <f>ROUND($C64*年齢階級別男女別世帯主割合!B71,0)</f>
        <v>534</v>
      </c>
      <c r="I64">
        <f>ROUND($C64*年齢階級別男女別世帯主割合!C71,0)</f>
        <v>145</v>
      </c>
      <c r="J64">
        <f>ROUND($C64*年齢階級別男女別世帯主割合!D71,0)</f>
        <v>178</v>
      </c>
      <c r="K64">
        <f>ROUND($C64*年齢階級別男女別世帯主割合!E71,0)</f>
        <v>8</v>
      </c>
      <c r="L64">
        <f>ROUND($C64*年齢階級別男女別世帯主割合!F71,0)</f>
        <v>26</v>
      </c>
      <c r="M64">
        <f>ROUND($D64*年齢階級別男女別世帯主割合!G71,0)</f>
        <v>347</v>
      </c>
      <c r="N64">
        <f>ROUND($D64*年齢階級別男女別世帯主割合!H71,0)</f>
        <v>9</v>
      </c>
      <c r="O64">
        <f>ROUND($D64*年齢階級別男女別世帯主割合!I71,0)</f>
        <v>5</v>
      </c>
      <c r="P64">
        <f>ROUND($D64*年齢階級別男女別世帯主割合!J71,0)</f>
        <v>52</v>
      </c>
      <c r="Q64">
        <f>ROUND($D64*年齢階級別男女別世帯主割合!K71,0)</f>
        <v>13</v>
      </c>
      <c r="S64" s="39" t="s">
        <v>288</v>
      </c>
      <c r="T64">
        <f t="shared" si="2"/>
        <v>534</v>
      </c>
      <c r="U64">
        <f t="shared" si="3"/>
        <v>347</v>
      </c>
      <c r="V64">
        <f t="shared" si="4"/>
        <v>154</v>
      </c>
      <c r="W64">
        <f t="shared" si="5"/>
        <v>183</v>
      </c>
      <c r="X64">
        <f t="shared" si="6"/>
        <v>60</v>
      </c>
      <c r="Y64">
        <f t="shared" si="7"/>
        <v>39</v>
      </c>
      <c r="AD64" t="str">
        <f t="shared" si="8"/>
        <v>25</v>
      </c>
      <c r="AE64" s="39" t="s">
        <v>288</v>
      </c>
      <c r="AF64">
        <f t="shared" si="9"/>
        <v>881</v>
      </c>
    </row>
    <row r="65" spans="1:32" x14ac:dyDescent="0.45">
      <c r="A65" t="str">
        <f t="shared" si="0"/>
        <v>2035年</v>
      </c>
      <c r="B65" t="str">
        <f t="shared" si="1"/>
        <v>30-34歳</v>
      </c>
      <c r="C65">
        <f>VLOOKUP(B65,人口データテーブル!$J$23:$P$38,MATCH(A65,人口データテーブル!$J$23:$P$23,0),FALSE)</f>
        <v>1878</v>
      </c>
      <c r="D65">
        <f>VLOOKUP(B65,人口データテーブル!$J$42:$P$57,MATCH(A65,人口データテーブル!$J$42:$P$42,0),FALSE)</f>
        <v>2104</v>
      </c>
      <c r="F65" t="s">
        <v>225</v>
      </c>
      <c r="G65" s="39" t="s">
        <v>289</v>
      </c>
      <c r="H65">
        <f>ROUND($C65*年齢階級別男女別世帯主割合!B72,0)</f>
        <v>479</v>
      </c>
      <c r="I65">
        <f>ROUND($C65*年齢階級別男女別世帯主割合!C72,0)</f>
        <v>218</v>
      </c>
      <c r="J65">
        <f>ROUND($C65*年齢階級別男女別世帯主割合!D72,0)</f>
        <v>568</v>
      </c>
      <c r="K65">
        <f>ROUND($C65*年齢階級別男女別世帯主割合!E72,0)</f>
        <v>16</v>
      </c>
      <c r="L65">
        <f>ROUND($C65*年齢階級別男女別世帯主割合!F72,0)</f>
        <v>39</v>
      </c>
      <c r="M65">
        <f>ROUND($D65*年齢階級別男女別世帯主割合!G72,0)</f>
        <v>246</v>
      </c>
      <c r="N65">
        <f>ROUND($D65*年齢階級別男女別世帯主割合!H72,0)</f>
        <v>9</v>
      </c>
      <c r="O65">
        <f>ROUND($D65*年齢階級別男女別世帯主割合!I72,0)</f>
        <v>12</v>
      </c>
      <c r="P65">
        <f>ROUND($D65*年齢階級別男女別世帯主割合!J72,0)</f>
        <v>110</v>
      </c>
      <c r="Q65">
        <f>ROUND($D65*年齢階級別男女別世帯主割合!K72,0)</f>
        <v>11</v>
      </c>
      <c r="S65" s="39" t="s">
        <v>289</v>
      </c>
      <c r="T65">
        <f t="shared" si="2"/>
        <v>479</v>
      </c>
      <c r="U65">
        <f t="shared" si="3"/>
        <v>246</v>
      </c>
      <c r="V65">
        <f t="shared" si="4"/>
        <v>227</v>
      </c>
      <c r="W65">
        <f t="shared" si="5"/>
        <v>580</v>
      </c>
      <c r="X65">
        <f t="shared" si="6"/>
        <v>126</v>
      </c>
      <c r="Y65">
        <f t="shared" si="7"/>
        <v>50</v>
      </c>
      <c r="AD65" t="str">
        <f t="shared" si="8"/>
        <v>30</v>
      </c>
      <c r="AE65" s="39" t="s">
        <v>289</v>
      </c>
      <c r="AF65">
        <f t="shared" si="9"/>
        <v>725</v>
      </c>
    </row>
    <row r="66" spans="1:32" x14ac:dyDescent="0.45">
      <c r="A66" t="str">
        <f t="shared" si="0"/>
        <v>2035年</v>
      </c>
      <c r="B66" t="str">
        <f t="shared" si="1"/>
        <v>35-39歳</v>
      </c>
      <c r="C66">
        <f>VLOOKUP(B66,人口データテーブル!$J$23:$P$38,MATCH(A66,人口データテーブル!$J$23:$P$23,0),FALSE)</f>
        <v>2139</v>
      </c>
      <c r="D66">
        <f>VLOOKUP(B66,人口データテーブル!$J$42:$P$57,MATCH(A66,人口データテーブル!$J$42:$P$42,0),FALSE)</f>
        <v>2314</v>
      </c>
      <c r="F66" t="s">
        <v>225</v>
      </c>
      <c r="G66" s="39" t="s">
        <v>290</v>
      </c>
      <c r="H66">
        <f>ROUND($C66*年齢階級別男女別世帯主割合!B73,0)</f>
        <v>439</v>
      </c>
      <c r="I66">
        <f>ROUND($C66*年齢階級別男女別世帯主割合!C73,0)</f>
        <v>194</v>
      </c>
      <c r="J66">
        <f>ROUND($C66*年齢階級別男女別世帯主割合!D73,0)</f>
        <v>919</v>
      </c>
      <c r="K66">
        <f>ROUND($C66*年齢階級別男女別世帯主割合!E73,0)</f>
        <v>25</v>
      </c>
      <c r="L66">
        <f>ROUND($C66*年齢階級別男女別世帯主割合!F73,0)</f>
        <v>56</v>
      </c>
      <c r="M66">
        <f>ROUND($D66*年齢階級別男女別世帯主割合!G73,0)</f>
        <v>211</v>
      </c>
      <c r="N66">
        <f>ROUND($D66*年齢階級別男女別世帯主割合!H73,0)</f>
        <v>6</v>
      </c>
      <c r="O66">
        <f>ROUND($D66*年齢階級別男女別世帯主割合!I73,0)</f>
        <v>12</v>
      </c>
      <c r="P66">
        <f>ROUND($D66*年齢階級別男女別世帯主割合!J73,0)</f>
        <v>166</v>
      </c>
      <c r="Q66">
        <f>ROUND($D66*年齢階級別男女別世帯主割合!K73,0)</f>
        <v>14</v>
      </c>
      <c r="S66" s="39" t="s">
        <v>290</v>
      </c>
      <c r="T66">
        <f t="shared" si="2"/>
        <v>439</v>
      </c>
      <c r="U66">
        <f t="shared" si="3"/>
        <v>211</v>
      </c>
      <c r="V66">
        <f t="shared" si="4"/>
        <v>200</v>
      </c>
      <c r="W66">
        <f t="shared" si="5"/>
        <v>931</v>
      </c>
      <c r="X66">
        <f t="shared" si="6"/>
        <v>191</v>
      </c>
      <c r="Y66">
        <f t="shared" si="7"/>
        <v>70</v>
      </c>
      <c r="AD66" t="str">
        <f t="shared" si="8"/>
        <v>35</v>
      </c>
      <c r="AE66" s="39" t="s">
        <v>290</v>
      </c>
      <c r="AF66">
        <f t="shared" si="9"/>
        <v>650</v>
      </c>
    </row>
    <row r="67" spans="1:32" x14ac:dyDescent="0.45">
      <c r="A67" t="str">
        <f t="shared" ref="A67:A91" si="10">LEFT(G67,5)</f>
        <v>2035年</v>
      </c>
      <c r="B67" t="str">
        <f t="shared" ref="B67:B91" si="11">MID(G67,10,7)</f>
        <v>40-44歳</v>
      </c>
      <c r="C67">
        <f>VLOOKUP(B67,人口データテーブル!$J$23:$P$38,MATCH(A67,人口データテーブル!$J$23:$P$23,0),FALSE)</f>
        <v>2019</v>
      </c>
      <c r="D67">
        <f>VLOOKUP(B67,人口データテーブル!$J$42:$P$57,MATCH(A67,人口データテーブル!$J$42:$P$42,0),FALSE)</f>
        <v>2171</v>
      </c>
      <c r="F67" t="s">
        <v>225</v>
      </c>
      <c r="G67" s="39" t="s">
        <v>291</v>
      </c>
      <c r="H67">
        <f>ROUND($C67*年齢階級別男女別世帯主割合!B74,0)</f>
        <v>392</v>
      </c>
      <c r="I67">
        <f>ROUND($C67*年齢階級別男女別世帯主割合!C74,0)</f>
        <v>161</v>
      </c>
      <c r="J67">
        <f>ROUND($C67*年齢階級別男女別世帯主割合!D74,0)</f>
        <v>945</v>
      </c>
      <c r="K67">
        <f>ROUND($C67*年齢階級別男女別世帯主割合!E74,0)</f>
        <v>48</v>
      </c>
      <c r="L67">
        <f>ROUND($C67*年齢階級別男女別世帯主割合!F74,0)</f>
        <v>78</v>
      </c>
      <c r="M67">
        <f>ROUND($D67*年齢階級別男女別世帯主割合!G74,0)</f>
        <v>190</v>
      </c>
      <c r="N67">
        <f>ROUND($D67*年齢階級別男女別世帯主割合!H74,0)</f>
        <v>4</v>
      </c>
      <c r="O67">
        <f>ROUND($D67*年齢階級別男女別世帯主割合!I74,0)</f>
        <v>11</v>
      </c>
      <c r="P67">
        <f>ROUND($D67*年齢階級別男女別世帯主割合!J74,0)</f>
        <v>208</v>
      </c>
      <c r="Q67">
        <f>ROUND($D67*年齢階級別男女別世帯主割合!K74,0)</f>
        <v>21</v>
      </c>
      <c r="S67" s="39" t="s">
        <v>291</v>
      </c>
      <c r="T67">
        <f t="shared" ref="T67:T91" si="12">H67</f>
        <v>392</v>
      </c>
      <c r="U67">
        <f t="shared" ref="U67:U91" si="13">M67</f>
        <v>190</v>
      </c>
      <c r="V67">
        <f t="shared" ref="V67:V91" si="14">I67+N67</f>
        <v>165</v>
      </c>
      <c r="W67">
        <f t="shared" ref="W67:W91" si="15">J67+O67</f>
        <v>956</v>
      </c>
      <c r="X67">
        <f t="shared" ref="X67:X91" si="16">K67+P67</f>
        <v>256</v>
      </c>
      <c r="Y67">
        <f t="shared" ref="Y67:Y91" si="17">L67+Q67</f>
        <v>99</v>
      </c>
      <c r="AD67" t="str">
        <f t="shared" ref="AD67:AD91" si="18">MID(AE67,10,2)</f>
        <v>40</v>
      </c>
      <c r="AE67" s="39" t="s">
        <v>291</v>
      </c>
      <c r="AF67">
        <f t="shared" ref="AF67:AF91" si="19">T67+U67</f>
        <v>582</v>
      </c>
    </row>
    <row r="68" spans="1:32" x14ac:dyDescent="0.45">
      <c r="A68" t="str">
        <f t="shared" si="10"/>
        <v>2035年</v>
      </c>
      <c r="B68" t="str">
        <f t="shared" si="11"/>
        <v>45-49歳</v>
      </c>
      <c r="C68">
        <f>VLOOKUP(B68,人口データテーブル!$J$23:$P$38,MATCH(A68,人口データテーブル!$J$23:$P$23,0),FALSE)</f>
        <v>1953</v>
      </c>
      <c r="D68">
        <f>VLOOKUP(B68,人口データテーブル!$J$42:$P$57,MATCH(A68,人口データテーブル!$J$42:$P$42,0),FALSE)</f>
        <v>2191</v>
      </c>
      <c r="F68" t="s">
        <v>225</v>
      </c>
      <c r="G68" s="39" t="s">
        <v>292</v>
      </c>
      <c r="H68">
        <f>ROUND($C68*年齢階級別男女別世帯主割合!B75,0)</f>
        <v>389</v>
      </c>
      <c r="I68">
        <f>ROUND($C68*年齢階級別男女別世帯主割合!C75,0)</f>
        <v>171</v>
      </c>
      <c r="J68">
        <f>ROUND($C68*年齢階級別男女別世帯主割合!D75,0)</f>
        <v>912</v>
      </c>
      <c r="K68">
        <f>ROUND($C68*年齢階級別男女別世帯主割合!E75,0)</f>
        <v>70</v>
      </c>
      <c r="L68">
        <f>ROUND($C68*年齢階級別男女別世帯主割合!F75,0)</f>
        <v>101</v>
      </c>
      <c r="M68">
        <f>ROUND($D68*年齢階級別男女別世帯主割合!G75,0)</f>
        <v>210</v>
      </c>
      <c r="N68">
        <f>ROUND($D68*年齢階級別男女別世帯主割合!H75,0)</f>
        <v>5</v>
      </c>
      <c r="O68">
        <f>ROUND($D68*年齢階級別男女別世帯主割合!I75,0)</f>
        <v>9</v>
      </c>
      <c r="P68">
        <f>ROUND($D68*年齢階級別男女別世帯主割合!J75,0)</f>
        <v>239</v>
      </c>
      <c r="Q68">
        <f>ROUND($D68*年齢階級別男女別世帯主割合!K75,0)</f>
        <v>31</v>
      </c>
      <c r="S68" s="39" t="s">
        <v>292</v>
      </c>
      <c r="T68">
        <f t="shared" si="12"/>
        <v>389</v>
      </c>
      <c r="U68">
        <f t="shared" si="13"/>
        <v>210</v>
      </c>
      <c r="V68">
        <f t="shared" si="14"/>
        <v>176</v>
      </c>
      <c r="W68">
        <f t="shared" si="15"/>
        <v>921</v>
      </c>
      <c r="X68">
        <f t="shared" si="16"/>
        <v>309</v>
      </c>
      <c r="Y68">
        <f t="shared" si="17"/>
        <v>132</v>
      </c>
      <c r="AD68" t="str">
        <f t="shared" si="18"/>
        <v>45</v>
      </c>
      <c r="AE68" s="39" t="s">
        <v>292</v>
      </c>
      <c r="AF68">
        <f t="shared" si="19"/>
        <v>599</v>
      </c>
    </row>
    <row r="69" spans="1:32" x14ac:dyDescent="0.45">
      <c r="A69" t="str">
        <f t="shared" si="10"/>
        <v>2035年</v>
      </c>
      <c r="B69" t="str">
        <f t="shared" si="11"/>
        <v>50-54歳</v>
      </c>
      <c r="C69">
        <f>VLOOKUP(B69,人口データテーブル!$J$23:$P$38,MATCH(A69,人口データテーブル!$J$23:$P$23,0),FALSE)</f>
        <v>2086</v>
      </c>
      <c r="D69">
        <f>VLOOKUP(B69,人口データテーブル!$J$42:$P$57,MATCH(A69,人口データテーブル!$J$42:$P$42,0),FALSE)</f>
        <v>2340</v>
      </c>
      <c r="F69" t="s">
        <v>225</v>
      </c>
      <c r="G69" s="39" t="s">
        <v>293</v>
      </c>
      <c r="H69">
        <f>ROUND($C69*年齢階級別男女別世帯主割合!B76,0)</f>
        <v>426</v>
      </c>
      <c r="I69">
        <f>ROUND($C69*年齢階級別男女別世帯主割合!C76,0)</f>
        <v>249</v>
      </c>
      <c r="J69">
        <f>ROUND($C69*年齢階級別男女別世帯主割合!D76,0)</f>
        <v>893</v>
      </c>
      <c r="K69">
        <f>ROUND($C69*年齢階級別男女別世帯主割合!E76,0)</f>
        <v>105</v>
      </c>
      <c r="L69">
        <f>ROUND($C69*年齢階級別男女別世帯主割合!F76,0)</f>
        <v>144</v>
      </c>
      <c r="M69">
        <f>ROUND($D69*年齢階級別男女別世帯主割合!G76,0)</f>
        <v>271</v>
      </c>
      <c r="N69">
        <f>ROUND($D69*年齢階級別男女別世帯主割合!H76,0)</f>
        <v>5</v>
      </c>
      <c r="O69">
        <f>ROUND($D69*年齢階級別男女別世帯主割合!I76,0)</f>
        <v>8</v>
      </c>
      <c r="P69">
        <f>ROUND($D69*年齢階級別男女別世帯主割合!J76,0)</f>
        <v>229</v>
      </c>
      <c r="Q69">
        <f>ROUND($D69*年齢階級別男女別世帯主割合!K76,0)</f>
        <v>37</v>
      </c>
      <c r="S69" s="39" t="s">
        <v>293</v>
      </c>
      <c r="T69">
        <f t="shared" si="12"/>
        <v>426</v>
      </c>
      <c r="U69">
        <f t="shared" si="13"/>
        <v>271</v>
      </c>
      <c r="V69">
        <f t="shared" si="14"/>
        <v>254</v>
      </c>
      <c r="W69">
        <f t="shared" si="15"/>
        <v>901</v>
      </c>
      <c r="X69">
        <f t="shared" si="16"/>
        <v>334</v>
      </c>
      <c r="Y69">
        <f t="shared" si="17"/>
        <v>181</v>
      </c>
      <c r="AD69" t="str">
        <f t="shared" si="18"/>
        <v>50</v>
      </c>
      <c r="AE69" s="39" t="s">
        <v>293</v>
      </c>
      <c r="AF69">
        <f t="shared" si="19"/>
        <v>697</v>
      </c>
    </row>
    <row r="70" spans="1:32" x14ac:dyDescent="0.45">
      <c r="A70" t="str">
        <f t="shared" si="10"/>
        <v>2035年</v>
      </c>
      <c r="B70" t="str">
        <f t="shared" si="11"/>
        <v>55-59歳</v>
      </c>
      <c r="C70">
        <f>VLOOKUP(B70,人口データテーブル!$J$23:$P$38,MATCH(A70,人口データテーブル!$J$23:$P$23,0),FALSE)</f>
        <v>2180</v>
      </c>
      <c r="D70">
        <f>VLOOKUP(B70,人口データテーブル!$J$42:$P$57,MATCH(A70,人口データテーブル!$J$42:$P$42,0),FALSE)</f>
        <v>2444</v>
      </c>
      <c r="F70" t="s">
        <v>225</v>
      </c>
      <c r="G70" s="39" t="s">
        <v>294</v>
      </c>
      <c r="H70">
        <f>ROUND($C70*年齢階級別男女別世帯主割合!B77,0)</f>
        <v>485</v>
      </c>
      <c r="I70">
        <f>ROUND($C70*年齢階級別男女別世帯主割合!C77,0)</f>
        <v>418</v>
      </c>
      <c r="J70">
        <f>ROUND($C70*年齢階級別男女別世帯主割合!D77,0)</f>
        <v>782</v>
      </c>
      <c r="K70">
        <f>ROUND($C70*年齢階級別男女別世帯主割合!E77,0)</f>
        <v>149</v>
      </c>
      <c r="L70">
        <f>ROUND($C70*年齢階級別男女別世帯主割合!F77,0)</f>
        <v>191</v>
      </c>
      <c r="M70">
        <f>ROUND($D70*年齢階級別男女別世帯主割合!G77,0)</f>
        <v>338</v>
      </c>
      <c r="N70">
        <f>ROUND($D70*年齢階級別男女別世帯主割合!H77,0)</f>
        <v>7</v>
      </c>
      <c r="O70">
        <f>ROUND($D70*年齢階級別男女別世帯主割合!I77,0)</f>
        <v>6</v>
      </c>
      <c r="P70">
        <f>ROUND($D70*年齢階級別男女別世帯主割合!J77,0)</f>
        <v>183</v>
      </c>
      <c r="Q70">
        <f>ROUND($D70*年齢階級別男女別世帯主割合!K77,0)</f>
        <v>42</v>
      </c>
      <c r="S70" s="39" t="s">
        <v>294</v>
      </c>
      <c r="T70">
        <f t="shared" si="12"/>
        <v>485</v>
      </c>
      <c r="U70">
        <f t="shared" si="13"/>
        <v>338</v>
      </c>
      <c r="V70">
        <f t="shared" si="14"/>
        <v>425</v>
      </c>
      <c r="W70">
        <f t="shared" si="15"/>
        <v>788</v>
      </c>
      <c r="X70">
        <f t="shared" si="16"/>
        <v>332</v>
      </c>
      <c r="Y70">
        <f t="shared" si="17"/>
        <v>233</v>
      </c>
      <c r="AD70" t="str">
        <f t="shared" si="18"/>
        <v>55</v>
      </c>
      <c r="AE70" s="39" t="s">
        <v>294</v>
      </c>
      <c r="AF70">
        <f t="shared" si="19"/>
        <v>823</v>
      </c>
    </row>
    <row r="71" spans="1:32" x14ac:dyDescent="0.45">
      <c r="A71" t="str">
        <f t="shared" si="10"/>
        <v>2035年</v>
      </c>
      <c r="B71" t="str">
        <f t="shared" si="11"/>
        <v>60-64歳</v>
      </c>
      <c r="C71">
        <f>VLOOKUP(B71,人口データテーブル!$J$23:$P$38,MATCH(A71,人口データテーブル!$J$23:$P$23,0),FALSE)</f>
        <v>2288</v>
      </c>
      <c r="D71">
        <f>VLOOKUP(B71,人口データテーブル!$J$42:$P$57,MATCH(A71,人口データテーブル!$J$42:$P$42,0),FALSE)</f>
        <v>2561</v>
      </c>
      <c r="F71" t="s">
        <v>225</v>
      </c>
      <c r="G71" s="39" t="s">
        <v>295</v>
      </c>
      <c r="H71">
        <f>ROUND($C71*年齢階級別男女別世帯主割合!B78,0)</f>
        <v>532</v>
      </c>
      <c r="I71">
        <f>ROUND($C71*年齢階級別男女別世帯主割合!C78,0)</f>
        <v>646</v>
      </c>
      <c r="J71">
        <f>ROUND($C71*年齢階級別男女別世帯主割合!D78,0)</f>
        <v>632</v>
      </c>
      <c r="K71">
        <f>ROUND($C71*年齢階級別男女別世帯主割合!E78,0)</f>
        <v>110</v>
      </c>
      <c r="L71">
        <f>ROUND($C71*年齢階級別男女別世帯主割合!F78,0)</f>
        <v>212</v>
      </c>
      <c r="M71">
        <f>ROUND($D71*年齢階級別男女別世帯主割合!G78,0)</f>
        <v>406</v>
      </c>
      <c r="N71">
        <f>ROUND($D71*年齢階級別男女別世帯主割合!H78,0)</f>
        <v>6</v>
      </c>
      <c r="O71">
        <f>ROUND($D71*年齢階級別男女別世帯主割合!I78,0)</f>
        <v>3</v>
      </c>
      <c r="P71">
        <f>ROUND($D71*年齢階級別男女別世帯主割合!J78,0)</f>
        <v>149</v>
      </c>
      <c r="Q71">
        <f>ROUND($D71*年齢階級別男女別世帯主割合!K78,0)</f>
        <v>44</v>
      </c>
      <c r="S71" s="39" t="s">
        <v>295</v>
      </c>
      <c r="T71">
        <f t="shared" si="12"/>
        <v>532</v>
      </c>
      <c r="U71">
        <f t="shared" si="13"/>
        <v>406</v>
      </c>
      <c r="V71">
        <f t="shared" si="14"/>
        <v>652</v>
      </c>
      <c r="W71">
        <f t="shared" si="15"/>
        <v>635</v>
      </c>
      <c r="X71">
        <f t="shared" si="16"/>
        <v>259</v>
      </c>
      <c r="Y71">
        <f t="shared" si="17"/>
        <v>256</v>
      </c>
      <c r="AD71" t="str">
        <f t="shared" si="18"/>
        <v>60</v>
      </c>
      <c r="AE71" s="39" t="s">
        <v>295</v>
      </c>
      <c r="AF71">
        <f t="shared" si="19"/>
        <v>938</v>
      </c>
    </row>
    <row r="72" spans="1:32" x14ac:dyDescent="0.45">
      <c r="A72" t="str">
        <f t="shared" si="10"/>
        <v>2035年</v>
      </c>
      <c r="B72" t="str">
        <f t="shared" si="11"/>
        <v>65-69歳</v>
      </c>
      <c r="C72">
        <f>VLOOKUP(B72,人口データテーブル!$J$23:$P$38,MATCH(A72,人口データテーブル!$J$23:$P$23,0),FALSE)</f>
        <v>1855</v>
      </c>
      <c r="D72">
        <f>VLOOKUP(B72,人口データテーブル!$J$42:$P$57,MATCH(A72,人口データテーブル!$J$42:$P$42,0),FALSE)</f>
        <v>2025</v>
      </c>
      <c r="G72" s="39" t="s">
        <v>296</v>
      </c>
      <c r="H72">
        <f>ROUND($C72*年齢階級別男女別世帯主割合!B79,0)</f>
        <v>421</v>
      </c>
      <c r="I72">
        <f>ROUND($C72*年齢階級別男女別世帯主割合!C79,0)</f>
        <v>678</v>
      </c>
      <c r="J72">
        <f>ROUND($C72*年齢階級別男女別世帯主割合!D79,0)</f>
        <v>401</v>
      </c>
      <c r="K72">
        <f>ROUND($C72*年齢階級別男女別世帯主割合!E79,0)</f>
        <v>69</v>
      </c>
      <c r="L72">
        <f>ROUND($C72*年齢階級別男女別世帯主割合!F79,0)</f>
        <v>164</v>
      </c>
      <c r="M72">
        <f>ROUND($D72*年齢階級別男女別世帯主割合!G79,0)</f>
        <v>354</v>
      </c>
      <c r="N72">
        <f>ROUND($D72*年齢階級別男女別世帯主割合!H79,0)</f>
        <v>4</v>
      </c>
      <c r="O72">
        <f>ROUND($D72*年齢階級別男女別世帯主割合!I79,0)</f>
        <v>2</v>
      </c>
      <c r="P72">
        <f>ROUND($D72*年齢階級別男女別世帯主割合!J79,0)</f>
        <v>117</v>
      </c>
      <c r="Q72">
        <f>ROUND($D72*年齢階級別男女別世帯主割合!K79,0)</f>
        <v>35</v>
      </c>
      <c r="S72" s="39" t="s">
        <v>296</v>
      </c>
      <c r="T72">
        <f t="shared" si="12"/>
        <v>421</v>
      </c>
      <c r="U72">
        <f t="shared" si="13"/>
        <v>354</v>
      </c>
      <c r="V72">
        <f t="shared" si="14"/>
        <v>682</v>
      </c>
      <c r="W72">
        <f t="shared" si="15"/>
        <v>403</v>
      </c>
      <c r="X72">
        <f t="shared" si="16"/>
        <v>186</v>
      </c>
      <c r="Y72">
        <f t="shared" si="17"/>
        <v>199</v>
      </c>
      <c r="AD72" t="str">
        <f t="shared" si="18"/>
        <v>65</v>
      </c>
      <c r="AE72" s="39" t="s">
        <v>296</v>
      </c>
      <c r="AF72">
        <f t="shared" si="19"/>
        <v>775</v>
      </c>
    </row>
    <row r="73" spans="1:32" x14ac:dyDescent="0.45">
      <c r="A73" t="str">
        <f t="shared" si="10"/>
        <v>2035年</v>
      </c>
      <c r="B73" t="str">
        <f t="shared" si="11"/>
        <v>70-74歳</v>
      </c>
      <c r="C73">
        <f>VLOOKUP(B73,人口データテーブル!$J$23:$P$38,MATCH(A73,人口データテーブル!$J$23:$P$23,0),FALSE)</f>
        <v>1463</v>
      </c>
      <c r="D73">
        <f>VLOOKUP(B73,人口データテーブル!$J$42:$P$57,MATCH(A73,人口データテーブル!$J$42:$P$42,0),FALSE)</f>
        <v>1641</v>
      </c>
      <c r="G73" s="39" t="s">
        <v>297</v>
      </c>
      <c r="H73">
        <f>ROUND($C73*年齢階級別男女別世帯主割合!B80,0)</f>
        <v>287</v>
      </c>
      <c r="I73">
        <f>ROUND($C73*年齢階級別男女別世帯主割合!C80,0)</f>
        <v>613</v>
      </c>
      <c r="J73">
        <f>ROUND($C73*年齢階級別男女別世帯主割合!D80,0)</f>
        <v>279</v>
      </c>
      <c r="K73">
        <f>ROUND($C73*年齢階級別男女別世帯主割合!E80,0)</f>
        <v>35</v>
      </c>
      <c r="L73">
        <f>ROUND($C73*年齢階級別男女別世帯主割合!F80,0)</f>
        <v>120</v>
      </c>
      <c r="M73">
        <f>ROUND($D73*年齢階級別男女別世帯主割合!G80,0)</f>
        <v>332</v>
      </c>
      <c r="N73">
        <f>ROUND($D73*年齢階級別男女別世帯主割合!H80,0)</f>
        <v>3</v>
      </c>
      <c r="O73">
        <f>ROUND($D73*年齢階級別男女別世帯主割合!I80,0)</f>
        <v>1</v>
      </c>
      <c r="P73">
        <f>ROUND($D73*年齢階級別男女別世帯主割合!J80,0)</f>
        <v>95</v>
      </c>
      <c r="Q73">
        <f>ROUND($D73*年齢階級別男女別世帯主割合!K80,0)</f>
        <v>30</v>
      </c>
      <c r="S73" s="39" t="s">
        <v>297</v>
      </c>
      <c r="T73">
        <f t="shared" si="12"/>
        <v>287</v>
      </c>
      <c r="U73">
        <f t="shared" si="13"/>
        <v>332</v>
      </c>
      <c r="V73">
        <f t="shared" si="14"/>
        <v>616</v>
      </c>
      <c r="W73">
        <f t="shared" si="15"/>
        <v>280</v>
      </c>
      <c r="X73">
        <f t="shared" si="16"/>
        <v>130</v>
      </c>
      <c r="Y73">
        <f t="shared" si="17"/>
        <v>150</v>
      </c>
      <c r="AD73" t="str">
        <f t="shared" si="18"/>
        <v>70</v>
      </c>
      <c r="AE73" s="39" t="s">
        <v>297</v>
      </c>
      <c r="AF73">
        <f t="shared" si="19"/>
        <v>619</v>
      </c>
    </row>
    <row r="74" spans="1:32" x14ac:dyDescent="0.45">
      <c r="A74" t="str">
        <f t="shared" si="10"/>
        <v>2035年</v>
      </c>
      <c r="B74" t="str">
        <f t="shared" si="11"/>
        <v>75-79歳</v>
      </c>
      <c r="C74">
        <f>VLOOKUP(B74,人口データテーブル!$J$23:$P$38,MATCH(A74,人口データテーブル!$J$23:$P$23,0),FALSE)</f>
        <v>1035</v>
      </c>
      <c r="D74">
        <f>VLOOKUP(B74,人口データテーブル!$J$42:$P$57,MATCH(A74,人口データテーブル!$J$42:$P$42,0),FALSE)</f>
        <v>1279</v>
      </c>
      <c r="G74" s="39" t="s">
        <v>298</v>
      </c>
      <c r="H74">
        <f>ROUND($C74*年齢階級別男女別世帯主割合!B81,0)</f>
        <v>178</v>
      </c>
      <c r="I74">
        <f>ROUND($C74*年齢階級別男女別世帯主割合!C81,0)</f>
        <v>457</v>
      </c>
      <c r="J74">
        <f>ROUND($C74*年齢階級別男女別世帯主割合!D81,0)</f>
        <v>182</v>
      </c>
      <c r="K74">
        <f>ROUND($C74*年齢階級別男女別世帯主割合!E81,0)</f>
        <v>26</v>
      </c>
      <c r="L74">
        <f>ROUND($C74*年齢階級別男女別世帯主割合!F81,0)</f>
        <v>89</v>
      </c>
      <c r="M74">
        <f>ROUND($D74*年齢階級別男女別世帯主割合!G81,0)</f>
        <v>314</v>
      </c>
      <c r="N74">
        <f>ROUND($D74*年齢階級別男女別世帯主割合!H81,0)</f>
        <v>2</v>
      </c>
      <c r="O74">
        <f>ROUND($D74*年齢階級別男女別世帯主割合!I81,0)</f>
        <v>0</v>
      </c>
      <c r="P74">
        <f>ROUND($D74*年齢階級別男女別世帯主割合!J81,0)</f>
        <v>82</v>
      </c>
      <c r="Q74">
        <f>ROUND($D74*年齢階級別男女別世帯主割合!K81,0)</f>
        <v>25</v>
      </c>
      <c r="S74" s="39" t="s">
        <v>298</v>
      </c>
      <c r="T74">
        <f t="shared" si="12"/>
        <v>178</v>
      </c>
      <c r="U74">
        <f t="shared" si="13"/>
        <v>314</v>
      </c>
      <c r="V74">
        <f t="shared" si="14"/>
        <v>459</v>
      </c>
      <c r="W74">
        <f t="shared" si="15"/>
        <v>182</v>
      </c>
      <c r="X74">
        <f t="shared" si="16"/>
        <v>108</v>
      </c>
      <c r="Y74">
        <f t="shared" si="17"/>
        <v>114</v>
      </c>
      <c r="AD74" t="str">
        <f t="shared" si="18"/>
        <v>75</v>
      </c>
      <c r="AE74" s="39" t="s">
        <v>298</v>
      </c>
      <c r="AF74">
        <f t="shared" si="19"/>
        <v>492</v>
      </c>
    </row>
    <row r="75" spans="1:32" x14ac:dyDescent="0.45">
      <c r="A75" t="str">
        <f t="shared" si="10"/>
        <v>2035年</v>
      </c>
      <c r="B75" t="str">
        <f t="shared" si="11"/>
        <v>80-84歳</v>
      </c>
      <c r="C75">
        <f>VLOOKUP(B75,人口データテーブル!$J$23:$P$38,MATCH(A75,人口データテーブル!$J$23:$P$23,0),FALSE)</f>
        <v>903</v>
      </c>
      <c r="D75">
        <f>VLOOKUP(B75,人口データテーブル!$J$42:$P$57,MATCH(A75,人口データテーブル!$J$42:$P$42,0),FALSE)</f>
        <v>1228</v>
      </c>
      <c r="G75" s="39" t="s">
        <v>299</v>
      </c>
      <c r="H75">
        <f>ROUND($C75*年齢階級別男女別世帯主割合!B82,0)</f>
        <v>143</v>
      </c>
      <c r="I75">
        <f>ROUND($C75*年齢階級別男女別世帯主割合!C82,0)</f>
        <v>400</v>
      </c>
      <c r="J75">
        <f>ROUND($C75*年齢階級別男女別世帯主割合!D82,0)</f>
        <v>144</v>
      </c>
      <c r="K75">
        <f>ROUND($C75*年齢階級別男女別世帯主割合!E82,0)</f>
        <v>24</v>
      </c>
      <c r="L75">
        <f>ROUND($C75*年齢階級別男女別世帯主割合!F82,0)</f>
        <v>83</v>
      </c>
      <c r="M75">
        <f>ROUND($D75*年齢階級別男女別世帯主割合!G82,0)</f>
        <v>342</v>
      </c>
      <c r="N75">
        <f>ROUND($D75*年齢階級別男女別世帯主割合!H82,0)</f>
        <v>1</v>
      </c>
      <c r="O75">
        <f>ROUND($D75*年齢階級別男女別世帯主割合!I82,0)</f>
        <v>0</v>
      </c>
      <c r="P75">
        <f>ROUND($D75*年齢階級別男女別世帯主割合!J82,0)</f>
        <v>77</v>
      </c>
      <c r="Q75">
        <f>ROUND($D75*年齢階級別男女別世帯主割合!K82,0)</f>
        <v>25</v>
      </c>
      <c r="S75" s="39" t="s">
        <v>299</v>
      </c>
      <c r="T75">
        <f t="shared" si="12"/>
        <v>143</v>
      </c>
      <c r="U75">
        <f t="shared" si="13"/>
        <v>342</v>
      </c>
      <c r="V75">
        <f t="shared" si="14"/>
        <v>401</v>
      </c>
      <c r="W75">
        <f t="shared" si="15"/>
        <v>144</v>
      </c>
      <c r="X75">
        <f t="shared" si="16"/>
        <v>101</v>
      </c>
      <c r="Y75">
        <f t="shared" si="17"/>
        <v>108</v>
      </c>
      <c r="AD75" t="str">
        <f t="shared" si="18"/>
        <v>80</v>
      </c>
      <c r="AE75" s="39" t="s">
        <v>299</v>
      </c>
      <c r="AF75">
        <f t="shared" si="19"/>
        <v>485</v>
      </c>
    </row>
    <row r="76" spans="1:32" x14ac:dyDescent="0.45">
      <c r="A76" t="str">
        <f t="shared" si="10"/>
        <v>2035年</v>
      </c>
      <c r="B76" t="str">
        <f t="shared" si="11"/>
        <v>85歳以上</v>
      </c>
      <c r="C76">
        <f>VLOOKUP(B76,人口データテーブル!$J$23:$P$38,MATCH(A76,人口データテーブル!$J$23:$P$23,0),FALSE)</f>
        <v>1143</v>
      </c>
      <c r="D76">
        <f>VLOOKUP(B76,人口データテーブル!$J$42:$P$57,MATCH(A76,人口データテーブル!$J$42:$P$42,0),FALSE)</f>
        <v>2169</v>
      </c>
      <c r="G76" s="39" t="s">
        <v>300</v>
      </c>
      <c r="H76">
        <f>ROUND($C76*年齢階級別男女別世帯主割合!B83,0)</f>
        <v>172</v>
      </c>
      <c r="I76">
        <f>ROUND($C76*年齢階級別男女別世帯主割合!C83,0)</f>
        <v>407</v>
      </c>
      <c r="J76">
        <f>ROUND($C76*年齢階級別男女別世帯主割合!D83,0)</f>
        <v>128</v>
      </c>
      <c r="K76">
        <f>ROUND($C76*年齢階級別男女別世帯主割合!E83,0)</f>
        <v>44</v>
      </c>
      <c r="L76">
        <f>ROUND($C76*年齢階級別男女別世帯主割合!F83,0)</f>
        <v>104</v>
      </c>
      <c r="M76">
        <f>ROUND($D76*年齢階級別男女別世帯主割合!G83,0)</f>
        <v>505</v>
      </c>
      <c r="N76">
        <f>ROUND($D76*年齢階級別男女別世帯主割合!H83,0)</f>
        <v>1</v>
      </c>
      <c r="O76">
        <f>ROUND($D76*年齢階級別男女別世帯主割合!I83,0)</f>
        <v>0</v>
      </c>
      <c r="P76">
        <f>ROUND($D76*年齢階級別男女別世帯主割合!J83,0)</f>
        <v>110</v>
      </c>
      <c r="Q76">
        <f>ROUND($D76*年齢階級別男女別世帯主割合!K83,0)</f>
        <v>38</v>
      </c>
      <c r="S76" s="39" t="s">
        <v>300</v>
      </c>
      <c r="T76">
        <f t="shared" si="12"/>
        <v>172</v>
      </c>
      <c r="U76">
        <f t="shared" si="13"/>
        <v>505</v>
      </c>
      <c r="V76">
        <f t="shared" si="14"/>
        <v>408</v>
      </c>
      <c r="W76">
        <f t="shared" si="15"/>
        <v>128</v>
      </c>
      <c r="X76">
        <f t="shared" si="16"/>
        <v>154</v>
      </c>
      <c r="Y76">
        <f t="shared" si="17"/>
        <v>142</v>
      </c>
      <c r="AD76" t="str">
        <f t="shared" si="18"/>
        <v>85</v>
      </c>
      <c r="AE76" s="39" t="s">
        <v>300</v>
      </c>
      <c r="AF76">
        <f t="shared" si="19"/>
        <v>677</v>
      </c>
    </row>
    <row r="77" spans="1:32" x14ac:dyDescent="0.45">
      <c r="A77" t="str">
        <f t="shared" si="10"/>
        <v>2040年</v>
      </c>
      <c r="B77" t="str">
        <f t="shared" si="11"/>
        <v>20歳未満</v>
      </c>
      <c r="C77">
        <f>VLOOKUP(B77,人口データテーブル!$J$23:$P$38,MATCH(A77,人口データテーブル!$J$23:$P$23,0),FALSE)</f>
        <v>7774</v>
      </c>
      <c r="D77">
        <f>VLOOKUP(B77,人口データテーブル!$J$42:$P$57,MATCH(A77,人口データテーブル!$J$42:$P$42,0),FALSE)</f>
        <v>7579</v>
      </c>
      <c r="F77" t="s">
        <v>225</v>
      </c>
      <c r="G77" s="40" t="s">
        <v>301</v>
      </c>
      <c r="H77">
        <f>ROUND($C77*年齢階級別男女別世帯主割合!B85,0)</f>
        <v>159</v>
      </c>
      <c r="I77">
        <f>ROUND($C77*年齢階級別男女別世帯主割合!C85,0)</f>
        <v>1</v>
      </c>
      <c r="J77">
        <f>ROUND($C77*年齢階級別男女別世帯主割合!D85,0)</f>
        <v>1</v>
      </c>
      <c r="K77">
        <f>ROUND($C77*年齢階級別男女別世帯主割合!E85,0)</f>
        <v>0</v>
      </c>
      <c r="L77">
        <f>ROUND($C77*年齢階級別男女別世帯主割合!F85,0)</f>
        <v>1</v>
      </c>
      <c r="M77">
        <f>ROUND($D77*年齢階級別男女別世帯主割合!G85,0)</f>
        <v>98</v>
      </c>
      <c r="N77">
        <f>ROUND($D77*年齢階級別男女別世帯主割合!H85,0)</f>
        <v>0</v>
      </c>
      <c r="O77">
        <f>ROUND($D77*年齢階級別男女別世帯主割合!I85,0)</f>
        <v>0</v>
      </c>
      <c r="P77">
        <f>ROUND($D77*年齢階級別男女別世帯主割合!J85,0)</f>
        <v>1</v>
      </c>
      <c r="Q77">
        <f>ROUND($D77*年齢階級別男女別世帯主割合!K85,0)</f>
        <v>1</v>
      </c>
      <c r="S77" s="40" t="s">
        <v>301</v>
      </c>
      <c r="T77">
        <f t="shared" si="12"/>
        <v>159</v>
      </c>
      <c r="U77">
        <f t="shared" si="13"/>
        <v>98</v>
      </c>
      <c r="V77">
        <f t="shared" si="14"/>
        <v>1</v>
      </c>
      <c r="W77">
        <f t="shared" si="15"/>
        <v>1</v>
      </c>
      <c r="X77">
        <f t="shared" si="16"/>
        <v>1</v>
      </c>
      <c r="Y77">
        <f t="shared" si="17"/>
        <v>2</v>
      </c>
      <c r="AD77" t="str">
        <f t="shared" si="18"/>
        <v>20</v>
      </c>
      <c r="AE77" s="40" t="s">
        <v>301</v>
      </c>
      <c r="AF77">
        <f t="shared" si="19"/>
        <v>257</v>
      </c>
    </row>
    <row r="78" spans="1:32" x14ac:dyDescent="0.45">
      <c r="A78" t="str">
        <f t="shared" si="10"/>
        <v>2040年</v>
      </c>
      <c r="B78" t="str">
        <f t="shared" si="11"/>
        <v>20-24歳</v>
      </c>
      <c r="C78">
        <f>VLOOKUP(B78,人口データテーブル!$J$23:$P$38,MATCH(A78,人口データテーブル!$J$23:$P$23,0),FALSE)</f>
        <v>2577</v>
      </c>
      <c r="D78">
        <f>VLOOKUP(B78,人口データテーブル!$J$42:$P$57,MATCH(A78,人口データテーブル!$J$42:$P$42,0),FALSE)</f>
        <v>2570</v>
      </c>
      <c r="F78" t="s">
        <v>225</v>
      </c>
      <c r="G78" s="40" t="s">
        <v>302</v>
      </c>
      <c r="H78">
        <f>ROUND($C78*年齢階級別男女別世帯主割合!B86,0)</f>
        <v>806</v>
      </c>
      <c r="I78">
        <f>ROUND($C78*年齢階級別男女別世帯主割合!C86,0)</f>
        <v>29</v>
      </c>
      <c r="J78">
        <f>ROUND($C78*年齢階級別男女別世帯主割合!D86,0)</f>
        <v>47</v>
      </c>
      <c r="K78">
        <f>ROUND($C78*年齢階級別男女別世帯主割合!E86,0)</f>
        <v>4</v>
      </c>
      <c r="L78">
        <f>ROUND($C78*年齢階級別男女別世帯主割合!F86,0)</f>
        <v>20</v>
      </c>
      <c r="M78">
        <f>ROUND($D78*年齢階級別男女別世帯主割合!G86,0)</f>
        <v>524</v>
      </c>
      <c r="N78">
        <f>ROUND($D78*年齢階級別男女別世帯主割合!H86,0)</f>
        <v>2</v>
      </c>
      <c r="O78">
        <f>ROUND($D78*年齢階級別男女別世帯主割合!I86,0)</f>
        <v>1</v>
      </c>
      <c r="P78">
        <f>ROUND($D78*年齢階級別男女別世帯主割合!J86,0)</f>
        <v>18</v>
      </c>
      <c r="Q78">
        <f>ROUND($D78*年齢階級別男女別世帯主割合!K86,0)</f>
        <v>16</v>
      </c>
      <c r="S78" s="40" t="s">
        <v>302</v>
      </c>
      <c r="T78">
        <f t="shared" si="12"/>
        <v>806</v>
      </c>
      <c r="U78">
        <f t="shared" si="13"/>
        <v>524</v>
      </c>
      <c r="V78">
        <f t="shared" si="14"/>
        <v>31</v>
      </c>
      <c r="W78">
        <f t="shared" si="15"/>
        <v>48</v>
      </c>
      <c r="X78">
        <f t="shared" si="16"/>
        <v>22</v>
      </c>
      <c r="Y78">
        <f t="shared" si="17"/>
        <v>36</v>
      </c>
      <c r="AD78" t="str">
        <f t="shared" si="18"/>
        <v>20</v>
      </c>
      <c r="AE78" s="40" t="s">
        <v>302</v>
      </c>
      <c r="AF78">
        <f t="shared" si="19"/>
        <v>1330</v>
      </c>
    </row>
    <row r="79" spans="1:32" x14ac:dyDescent="0.45">
      <c r="A79" t="str">
        <f t="shared" si="10"/>
        <v>2040年</v>
      </c>
      <c r="B79" t="str">
        <f t="shared" si="11"/>
        <v>25-29歳</v>
      </c>
      <c r="C79">
        <f>VLOOKUP(B79,人口データテーブル!$J$23:$P$38,MATCH(A79,人口データテーブル!$J$23:$P$23,0),FALSE)</f>
        <v>1583</v>
      </c>
      <c r="D79">
        <f>VLOOKUP(B79,人口データテーブル!$J$42:$P$57,MATCH(A79,人口データテーブル!$J$42:$P$42,0),FALSE)</f>
        <v>1845</v>
      </c>
      <c r="F79" t="s">
        <v>225</v>
      </c>
      <c r="G79" s="40" t="s">
        <v>303</v>
      </c>
      <c r="H79">
        <f>ROUND($C79*年齢階級別男女別世帯主割合!B87,0)</f>
        <v>528</v>
      </c>
      <c r="I79">
        <f>ROUND($C79*年齢階級別男女別世帯主割合!C87,0)</f>
        <v>141</v>
      </c>
      <c r="J79">
        <f>ROUND($C79*年齢階級別男女別世帯主割合!D87,0)</f>
        <v>174</v>
      </c>
      <c r="K79">
        <f>ROUND($C79*年齢階級別男女別世帯主割合!E87,0)</f>
        <v>8</v>
      </c>
      <c r="L79">
        <f>ROUND($C79*年齢階級別男女別世帯主割合!F87,0)</f>
        <v>25</v>
      </c>
      <c r="M79">
        <f>ROUND($D79*年齢階級別男女別世帯主割合!G87,0)</f>
        <v>346</v>
      </c>
      <c r="N79">
        <f>ROUND($D79*年齢階級別男女別世帯主割合!H87,0)</f>
        <v>9</v>
      </c>
      <c r="O79">
        <f>ROUND($D79*年齢階級別男女別世帯主割合!I87,0)</f>
        <v>5</v>
      </c>
      <c r="P79">
        <f>ROUND($D79*年齢階級別男女別世帯主割合!J87,0)</f>
        <v>51</v>
      </c>
      <c r="Q79">
        <f>ROUND($D79*年齢階級別男女別世帯主割合!K87,0)</f>
        <v>12</v>
      </c>
      <c r="S79" s="40" t="s">
        <v>303</v>
      </c>
      <c r="T79">
        <f t="shared" si="12"/>
        <v>528</v>
      </c>
      <c r="U79">
        <f t="shared" si="13"/>
        <v>346</v>
      </c>
      <c r="V79">
        <f t="shared" si="14"/>
        <v>150</v>
      </c>
      <c r="W79">
        <f t="shared" si="15"/>
        <v>179</v>
      </c>
      <c r="X79">
        <f t="shared" si="16"/>
        <v>59</v>
      </c>
      <c r="Y79">
        <f t="shared" si="17"/>
        <v>37</v>
      </c>
      <c r="AD79" t="str">
        <f t="shared" si="18"/>
        <v>25</v>
      </c>
      <c r="AE79" s="40" t="s">
        <v>303</v>
      </c>
      <c r="AF79">
        <f t="shared" si="19"/>
        <v>874</v>
      </c>
    </row>
    <row r="80" spans="1:32" x14ac:dyDescent="0.45">
      <c r="A80" t="str">
        <f t="shared" si="10"/>
        <v>2040年</v>
      </c>
      <c r="B80" t="str">
        <f t="shared" si="11"/>
        <v>30-34歳</v>
      </c>
      <c r="C80">
        <f>VLOOKUP(B80,人口データテーブル!$J$23:$P$38,MATCH(A80,人口データテーブル!$J$23:$P$23,0),FALSE)</f>
        <v>1839</v>
      </c>
      <c r="D80">
        <f>VLOOKUP(B80,人口データテーブル!$J$42:$P$57,MATCH(A80,人口データテーブル!$J$42:$P$42,0),FALSE)</f>
        <v>2069</v>
      </c>
      <c r="F80" t="s">
        <v>225</v>
      </c>
      <c r="G80" s="40" t="s">
        <v>304</v>
      </c>
      <c r="H80">
        <f>ROUND($C80*年齢階級別男女別世帯主割合!B88,0)</f>
        <v>471</v>
      </c>
      <c r="I80">
        <f>ROUND($C80*年齢階級別男女別世帯主割合!C88,0)</f>
        <v>210</v>
      </c>
      <c r="J80">
        <f>ROUND($C80*年齢階級別男女別世帯主割合!D88,0)</f>
        <v>547</v>
      </c>
      <c r="K80">
        <f>ROUND($C80*年齢階級別男女別世帯主割合!E88,0)</f>
        <v>14</v>
      </c>
      <c r="L80">
        <f>ROUND($C80*年齢階級別男女別世帯主割合!F88,0)</f>
        <v>36</v>
      </c>
      <c r="M80">
        <f>ROUND($D80*年齢階級別男女別世帯主割合!G88,0)</f>
        <v>245</v>
      </c>
      <c r="N80">
        <f>ROUND($D80*年齢階級別男女別世帯主割合!H88,0)</f>
        <v>9</v>
      </c>
      <c r="O80">
        <f>ROUND($D80*年齢階級別男女別世帯主割合!I88,0)</f>
        <v>12</v>
      </c>
      <c r="P80">
        <f>ROUND($D80*年齢階級別男女別世帯主割合!J88,0)</f>
        <v>108</v>
      </c>
      <c r="Q80">
        <f>ROUND($D80*年齢階級別男女別世帯主割合!K88,0)</f>
        <v>10</v>
      </c>
      <c r="S80" s="40" t="s">
        <v>304</v>
      </c>
      <c r="T80">
        <f t="shared" si="12"/>
        <v>471</v>
      </c>
      <c r="U80">
        <f t="shared" si="13"/>
        <v>245</v>
      </c>
      <c r="V80">
        <f t="shared" si="14"/>
        <v>219</v>
      </c>
      <c r="W80">
        <f t="shared" si="15"/>
        <v>559</v>
      </c>
      <c r="X80">
        <f t="shared" si="16"/>
        <v>122</v>
      </c>
      <c r="Y80">
        <f t="shared" si="17"/>
        <v>46</v>
      </c>
      <c r="AD80" t="str">
        <f t="shared" si="18"/>
        <v>30</v>
      </c>
      <c r="AE80" s="40" t="s">
        <v>304</v>
      </c>
      <c r="AF80">
        <f t="shared" si="19"/>
        <v>716</v>
      </c>
    </row>
    <row r="81" spans="1:35" x14ac:dyDescent="0.45">
      <c r="A81" t="str">
        <f t="shared" si="10"/>
        <v>2040年</v>
      </c>
      <c r="B81" t="str">
        <f t="shared" si="11"/>
        <v>35-39歳</v>
      </c>
      <c r="C81">
        <f>VLOOKUP(B81,人口データテーブル!$J$23:$P$38,MATCH(A81,人口データテーブル!$J$23:$P$23,0),FALSE)</f>
        <v>2040</v>
      </c>
      <c r="D81">
        <f>VLOOKUP(B81,人口データテーブル!$J$42:$P$57,MATCH(A81,人口データテーブル!$J$42:$P$42,0),FALSE)</f>
        <v>2232</v>
      </c>
      <c r="F81" t="s">
        <v>225</v>
      </c>
      <c r="G81" s="40" t="s">
        <v>305</v>
      </c>
      <c r="H81">
        <f>ROUND($C81*年齢階級別男女別世帯主割合!B89,0)</f>
        <v>418</v>
      </c>
      <c r="I81">
        <f>ROUND($C81*年齢階級別男女別世帯主割合!C89,0)</f>
        <v>185</v>
      </c>
      <c r="J81">
        <f>ROUND($C81*年齢階級別男女別世帯主割合!D89,0)</f>
        <v>870</v>
      </c>
      <c r="K81">
        <f>ROUND($C81*年齢階級別男女別世帯主割合!E89,0)</f>
        <v>27</v>
      </c>
      <c r="L81">
        <f>ROUND($C81*年齢階級別男女別世帯主割合!F89,0)</f>
        <v>55</v>
      </c>
      <c r="M81">
        <f>ROUND($D81*年齢階級別男女別世帯主割合!G89,0)</f>
        <v>206</v>
      </c>
      <c r="N81">
        <f>ROUND($D81*年齢階級別男女別世帯主割合!H89,0)</f>
        <v>6</v>
      </c>
      <c r="O81">
        <f>ROUND($D81*年齢階級別男女別世帯主割合!I89,0)</f>
        <v>12</v>
      </c>
      <c r="P81">
        <f>ROUND($D81*年齢階級別男女別世帯主割合!J89,0)</f>
        <v>165</v>
      </c>
      <c r="Q81">
        <f>ROUND($D81*年齢階級別男女別世帯主割合!K89,0)</f>
        <v>14</v>
      </c>
      <c r="S81" s="40" t="s">
        <v>305</v>
      </c>
      <c r="T81">
        <f t="shared" si="12"/>
        <v>418</v>
      </c>
      <c r="U81">
        <f t="shared" si="13"/>
        <v>206</v>
      </c>
      <c r="V81">
        <f t="shared" si="14"/>
        <v>191</v>
      </c>
      <c r="W81">
        <f t="shared" si="15"/>
        <v>882</v>
      </c>
      <c r="X81">
        <f t="shared" si="16"/>
        <v>192</v>
      </c>
      <c r="Y81">
        <f t="shared" si="17"/>
        <v>69</v>
      </c>
      <c r="AD81" t="str">
        <f t="shared" si="18"/>
        <v>35</v>
      </c>
      <c r="AE81" s="40" t="s">
        <v>305</v>
      </c>
      <c r="AF81">
        <f t="shared" si="19"/>
        <v>624</v>
      </c>
    </row>
    <row r="82" spans="1:35" x14ac:dyDescent="0.45">
      <c r="A82" t="str">
        <f t="shared" si="10"/>
        <v>2040年</v>
      </c>
      <c r="B82" t="str">
        <f t="shared" si="11"/>
        <v>40-44歳</v>
      </c>
      <c r="C82">
        <f>VLOOKUP(B82,人口データテーブル!$J$23:$P$38,MATCH(A82,人口データテーブル!$J$23:$P$23,0),FALSE)</f>
        <v>2140</v>
      </c>
      <c r="D82">
        <f>VLOOKUP(B82,人口データテーブル!$J$42:$P$57,MATCH(A82,人口データテーブル!$J$42:$P$42,0),FALSE)</f>
        <v>2303</v>
      </c>
      <c r="F82" t="s">
        <v>225</v>
      </c>
      <c r="G82" s="40" t="s">
        <v>306</v>
      </c>
      <c r="H82">
        <f>ROUND($C82*年齢階級別男女別世帯主割合!B90,0)</f>
        <v>411</v>
      </c>
      <c r="I82">
        <f>ROUND($C82*年齢階級別男女別世帯主割合!C90,0)</f>
        <v>173</v>
      </c>
      <c r="J82">
        <f>ROUND($C82*年齢階級別男女別世帯主割合!D90,0)</f>
        <v>1002</v>
      </c>
      <c r="K82">
        <f>ROUND($C82*年齢階級別男女別世帯主割合!E90,0)</f>
        <v>52</v>
      </c>
      <c r="L82">
        <f>ROUND($C82*年齢階級別男女別世帯主割合!F90,0)</f>
        <v>83</v>
      </c>
      <c r="M82">
        <f>ROUND($D82*年齢階級別男女別世帯主割合!G90,0)</f>
        <v>205</v>
      </c>
      <c r="N82">
        <f>ROUND($D82*年齢階級別男女別世帯主割合!H90,0)</f>
        <v>5</v>
      </c>
      <c r="O82">
        <f>ROUND($D82*年齢階級別男女別世帯主割合!I90,0)</f>
        <v>12</v>
      </c>
      <c r="P82">
        <f>ROUND($D82*年齢階級別男女別世帯主割合!J90,0)</f>
        <v>226</v>
      </c>
      <c r="Q82">
        <f>ROUND($D82*年齢階級別男女別世帯主割合!K90,0)</f>
        <v>22</v>
      </c>
      <c r="S82" s="40" t="s">
        <v>306</v>
      </c>
      <c r="T82">
        <f t="shared" si="12"/>
        <v>411</v>
      </c>
      <c r="U82">
        <f t="shared" si="13"/>
        <v>205</v>
      </c>
      <c r="V82">
        <f t="shared" si="14"/>
        <v>178</v>
      </c>
      <c r="W82">
        <f t="shared" si="15"/>
        <v>1014</v>
      </c>
      <c r="X82">
        <f t="shared" si="16"/>
        <v>278</v>
      </c>
      <c r="Y82">
        <f t="shared" si="17"/>
        <v>105</v>
      </c>
      <c r="AD82" t="str">
        <f t="shared" si="18"/>
        <v>40</v>
      </c>
      <c r="AE82" s="40" t="s">
        <v>306</v>
      </c>
      <c r="AF82">
        <f t="shared" si="19"/>
        <v>616</v>
      </c>
    </row>
    <row r="83" spans="1:35" x14ac:dyDescent="0.45">
      <c r="A83" t="str">
        <f t="shared" si="10"/>
        <v>2040年</v>
      </c>
      <c r="B83" t="str">
        <f t="shared" si="11"/>
        <v>45-49歳</v>
      </c>
      <c r="C83">
        <f>VLOOKUP(B83,人口データテーブル!$J$23:$P$38,MATCH(A83,人口データテーブル!$J$23:$P$23,0),FALSE)</f>
        <v>1916</v>
      </c>
      <c r="D83">
        <f>VLOOKUP(B83,人口データテーブル!$J$42:$P$57,MATCH(A83,人口データテーブル!$J$42:$P$42,0),FALSE)</f>
        <v>2147</v>
      </c>
      <c r="F83" t="s">
        <v>225</v>
      </c>
      <c r="G83" s="40" t="s">
        <v>307</v>
      </c>
      <c r="H83">
        <f>ROUND($C83*年齢階級別男女別世帯主割合!B91,0)</f>
        <v>386</v>
      </c>
      <c r="I83">
        <f>ROUND($C83*年齢階級別男女別世帯主割合!C91,0)</f>
        <v>171</v>
      </c>
      <c r="J83">
        <f>ROUND($C83*年齢階級別男女別世帯主割合!D91,0)</f>
        <v>885</v>
      </c>
      <c r="K83">
        <f>ROUND($C83*年齢階級別男女別世帯主割合!E91,0)</f>
        <v>71</v>
      </c>
      <c r="L83">
        <f>ROUND($C83*年齢階級別男女別世帯主割合!F91,0)</f>
        <v>98</v>
      </c>
      <c r="M83">
        <f>ROUND($D83*年齢階級別男女別世帯主割合!G91,0)</f>
        <v>211</v>
      </c>
      <c r="N83">
        <f>ROUND($D83*年齢階級別男女別世帯主割合!H91,0)</f>
        <v>5</v>
      </c>
      <c r="O83">
        <f>ROUND($D83*年齢階級別男女別世帯主割合!I91,0)</f>
        <v>9</v>
      </c>
      <c r="P83">
        <f>ROUND($D83*年齢階級別男女別世帯主割合!J91,0)</f>
        <v>240</v>
      </c>
      <c r="Q83">
        <f>ROUND($D83*年齢階級別男女別世帯主割合!K91,0)</f>
        <v>30</v>
      </c>
      <c r="S83" s="40" t="s">
        <v>307</v>
      </c>
      <c r="T83">
        <f t="shared" si="12"/>
        <v>386</v>
      </c>
      <c r="U83">
        <f t="shared" si="13"/>
        <v>211</v>
      </c>
      <c r="V83">
        <f t="shared" si="14"/>
        <v>176</v>
      </c>
      <c r="W83">
        <f t="shared" si="15"/>
        <v>894</v>
      </c>
      <c r="X83">
        <f t="shared" si="16"/>
        <v>311</v>
      </c>
      <c r="Y83">
        <f t="shared" si="17"/>
        <v>128</v>
      </c>
      <c r="AD83" t="str">
        <f t="shared" si="18"/>
        <v>45</v>
      </c>
      <c r="AE83" s="40" t="s">
        <v>307</v>
      </c>
      <c r="AF83">
        <f t="shared" si="19"/>
        <v>597</v>
      </c>
    </row>
    <row r="84" spans="1:35" x14ac:dyDescent="0.45">
      <c r="A84" t="str">
        <f t="shared" si="10"/>
        <v>2040年</v>
      </c>
      <c r="B84" t="str">
        <f t="shared" si="11"/>
        <v>50-54歳</v>
      </c>
      <c r="C84">
        <f>VLOOKUP(B84,人口データテーブル!$J$23:$P$38,MATCH(A84,人口データテーブル!$J$23:$P$23,0),FALSE)</f>
        <v>1881</v>
      </c>
      <c r="D84">
        <f>VLOOKUP(B84,人口データテーブル!$J$42:$P$57,MATCH(A84,人口データテーブル!$J$42:$P$42,0),FALSE)</f>
        <v>2146</v>
      </c>
      <c r="F84" t="s">
        <v>225</v>
      </c>
      <c r="G84" s="40" t="s">
        <v>308</v>
      </c>
      <c r="H84">
        <f>ROUND($C84*年齢階級別男女別世帯主割合!B92,0)</f>
        <v>392</v>
      </c>
      <c r="I84">
        <f>ROUND($C84*年齢階級別男女別世帯主割合!C92,0)</f>
        <v>226</v>
      </c>
      <c r="J84">
        <f>ROUND($C84*年齢階級別男女別世帯主割合!D92,0)</f>
        <v>804</v>
      </c>
      <c r="K84">
        <f>ROUND($C84*年齢階級別男女別世帯主割合!E92,0)</f>
        <v>91</v>
      </c>
      <c r="L84">
        <f>ROUND($C84*年齢階級別男女別世帯主割合!F92,0)</f>
        <v>126</v>
      </c>
      <c r="M84">
        <f>ROUND($D84*年齢階級別男女別世帯主割合!G92,0)</f>
        <v>254</v>
      </c>
      <c r="N84">
        <f>ROUND($D84*年齢階級別男女別世帯主割合!H92,0)</f>
        <v>5</v>
      </c>
      <c r="O84">
        <f>ROUND($D84*年齢階級別男女別世帯主割合!I92,0)</f>
        <v>7</v>
      </c>
      <c r="P84">
        <f>ROUND($D84*年齢階級別男女別世帯主割合!J92,0)</f>
        <v>218</v>
      </c>
      <c r="Q84">
        <f>ROUND($D84*年齢階級別男女別世帯主割合!K92,0)</f>
        <v>34</v>
      </c>
      <c r="S84" s="40" t="s">
        <v>308</v>
      </c>
      <c r="T84">
        <f t="shared" si="12"/>
        <v>392</v>
      </c>
      <c r="U84">
        <f t="shared" si="13"/>
        <v>254</v>
      </c>
      <c r="V84">
        <f t="shared" si="14"/>
        <v>231</v>
      </c>
      <c r="W84">
        <f t="shared" si="15"/>
        <v>811</v>
      </c>
      <c r="X84">
        <f t="shared" si="16"/>
        <v>309</v>
      </c>
      <c r="Y84">
        <f t="shared" si="17"/>
        <v>160</v>
      </c>
      <c r="AD84" t="str">
        <f t="shared" si="18"/>
        <v>50</v>
      </c>
      <c r="AE84" s="40" t="s">
        <v>308</v>
      </c>
      <c r="AF84">
        <f t="shared" si="19"/>
        <v>646</v>
      </c>
    </row>
    <row r="85" spans="1:35" x14ac:dyDescent="0.45">
      <c r="A85" t="str">
        <f t="shared" si="10"/>
        <v>2040年</v>
      </c>
      <c r="B85" t="str">
        <f t="shared" si="11"/>
        <v>55-59歳</v>
      </c>
      <c r="C85">
        <f>VLOOKUP(B85,人口データテーブル!$J$23:$P$38,MATCH(A85,人口データテーブル!$J$23:$P$23,0),FALSE)</f>
        <v>1966</v>
      </c>
      <c r="D85">
        <f>VLOOKUP(B85,人口データテーブル!$J$42:$P$57,MATCH(A85,人口データテーブル!$J$42:$P$42,0),FALSE)</f>
        <v>2302</v>
      </c>
      <c r="F85" t="s">
        <v>225</v>
      </c>
      <c r="G85" s="40" t="s">
        <v>309</v>
      </c>
      <c r="H85">
        <f>ROUND($C85*年齢階級別男女別世帯主割合!B93,0)</f>
        <v>454</v>
      </c>
      <c r="I85">
        <f>ROUND($C85*年齢階級別男女別世帯主割合!C93,0)</f>
        <v>374</v>
      </c>
      <c r="J85">
        <f>ROUND($C85*年齢階級別男女別世帯主割合!D93,0)</f>
        <v>700</v>
      </c>
      <c r="K85">
        <f>ROUND($C85*年齢階級別男女別世帯主割合!E93,0)</f>
        <v>151</v>
      </c>
      <c r="L85">
        <f>ROUND($C85*年齢階級別男女別世帯主割合!F93,0)</f>
        <v>168</v>
      </c>
      <c r="M85">
        <f>ROUND($D85*年齢階級別男女別世帯主割合!G93,0)</f>
        <v>331</v>
      </c>
      <c r="N85">
        <f>ROUND($D85*年齢階級別男女別世帯主割合!H93,0)</f>
        <v>6</v>
      </c>
      <c r="O85">
        <f>ROUND($D85*年齢階級別男女別世帯主割合!I93,0)</f>
        <v>6</v>
      </c>
      <c r="P85">
        <f>ROUND($D85*年齢階級別男女別世帯主割合!J93,0)</f>
        <v>184</v>
      </c>
      <c r="Q85">
        <f>ROUND($D85*年齢階級別男女別世帯主割合!K93,0)</f>
        <v>40</v>
      </c>
      <c r="S85" s="40" t="s">
        <v>309</v>
      </c>
      <c r="T85">
        <f t="shared" si="12"/>
        <v>454</v>
      </c>
      <c r="U85">
        <f t="shared" si="13"/>
        <v>331</v>
      </c>
      <c r="V85">
        <f t="shared" si="14"/>
        <v>380</v>
      </c>
      <c r="W85">
        <f t="shared" si="15"/>
        <v>706</v>
      </c>
      <c r="X85">
        <f t="shared" si="16"/>
        <v>335</v>
      </c>
      <c r="Y85">
        <f t="shared" si="17"/>
        <v>208</v>
      </c>
      <c r="AD85" t="str">
        <f t="shared" si="18"/>
        <v>55</v>
      </c>
      <c r="AE85" s="40" t="s">
        <v>309</v>
      </c>
      <c r="AF85">
        <f t="shared" si="19"/>
        <v>785</v>
      </c>
    </row>
    <row r="86" spans="1:35" x14ac:dyDescent="0.45">
      <c r="A86" t="str">
        <f t="shared" si="10"/>
        <v>2040年</v>
      </c>
      <c r="B86" t="str">
        <f t="shared" si="11"/>
        <v>60-64歳</v>
      </c>
      <c r="C86">
        <f>VLOOKUP(B86,人口データテーブル!$J$23:$P$38,MATCH(A86,人口データテーブル!$J$23:$P$23,0),FALSE)</f>
        <v>2110</v>
      </c>
      <c r="D86">
        <f>VLOOKUP(B86,人口データテーブル!$J$42:$P$57,MATCH(A86,人口データテーブル!$J$42:$P$42,0),FALSE)</f>
        <v>2375</v>
      </c>
      <c r="F86" t="s">
        <v>225</v>
      </c>
      <c r="G86" s="40" t="s">
        <v>310</v>
      </c>
      <c r="H86">
        <f>ROUND($C86*年齢階級別男女別世帯主割合!B94,0)</f>
        <v>497</v>
      </c>
      <c r="I86">
        <f>ROUND($C86*年齢階級別男女別世帯主割合!C94,0)</f>
        <v>596</v>
      </c>
      <c r="J86">
        <f>ROUND($C86*年齢階級別男女別世帯主割合!D94,0)</f>
        <v>592</v>
      </c>
      <c r="K86">
        <f>ROUND($C86*年齢階級別男女別世帯主割合!E94,0)</f>
        <v>116</v>
      </c>
      <c r="L86">
        <f>ROUND($C86*年齢階級別男女別世帯主割合!F94,0)</f>
        <v>190</v>
      </c>
      <c r="M86">
        <f>ROUND($D86*年齢階級別男女別世帯主割合!G94,0)</f>
        <v>386</v>
      </c>
      <c r="N86">
        <f>ROUND($D86*年齢階級別男女別世帯主割合!H94,0)</f>
        <v>6</v>
      </c>
      <c r="O86">
        <f>ROUND($D86*年齢階級別男女別世帯主割合!I94,0)</f>
        <v>3</v>
      </c>
      <c r="P86">
        <f>ROUND($D86*年齢階級別男女別世帯主割合!J94,0)</f>
        <v>145</v>
      </c>
      <c r="Q86">
        <f>ROUND($D86*年齢階級別男女別世帯主割合!K94,0)</f>
        <v>40</v>
      </c>
      <c r="S86" s="40" t="s">
        <v>310</v>
      </c>
      <c r="T86">
        <f t="shared" si="12"/>
        <v>497</v>
      </c>
      <c r="U86">
        <f t="shared" si="13"/>
        <v>386</v>
      </c>
      <c r="V86">
        <f t="shared" si="14"/>
        <v>602</v>
      </c>
      <c r="W86">
        <f t="shared" si="15"/>
        <v>595</v>
      </c>
      <c r="X86">
        <f t="shared" si="16"/>
        <v>261</v>
      </c>
      <c r="Y86">
        <f t="shared" si="17"/>
        <v>230</v>
      </c>
      <c r="AD86" t="str">
        <f t="shared" si="18"/>
        <v>60</v>
      </c>
      <c r="AE86" s="40" t="s">
        <v>310</v>
      </c>
      <c r="AF86">
        <f t="shared" si="19"/>
        <v>883</v>
      </c>
    </row>
    <row r="87" spans="1:35" x14ac:dyDescent="0.45">
      <c r="A87" t="str">
        <f t="shared" si="10"/>
        <v>2040年</v>
      </c>
      <c r="B87" t="str">
        <f t="shared" si="11"/>
        <v>65-69歳</v>
      </c>
      <c r="C87">
        <f>VLOOKUP(B87,人口データテーブル!$J$23:$P$38,MATCH(A87,人口データテーブル!$J$23:$P$23,0),FALSE)</f>
        <v>2184</v>
      </c>
      <c r="D87">
        <f>VLOOKUP(B87,人口データテーブル!$J$42:$P$57,MATCH(A87,人口データテーブル!$J$42:$P$42,0),FALSE)</f>
        <v>2570</v>
      </c>
      <c r="G87" s="40" t="s">
        <v>311</v>
      </c>
      <c r="H87">
        <f>ROUND($C87*年齢階級別男女別世帯主割合!B95,0)</f>
        <v>498</v>
      </c>
      <c r="I87">
        <f>ROUND($C87*年齢階級別男女別世帯主割合!C95,0)</f>
        <v>810</v>
      </c>
      <c r="J87">
        <f>ROUND($C87*年齢階級別男女別世帯主割合!D95,0)</f>
        <v>476</v>
      </c>
      <c r="K87">
        <f>ROUND($C87*年齢階級別男女別世帯主割合!E95,0)</f>
        <v>74</v>
      </c>
      <c r="L87">
        <f>ROUND($C87*年齢階級別男女別世帯主割合!F95,0)</f>
        <v>183</v>
      </c>
      <c r="M87">
        <f>ROUND($D87*年齢階級別男女別世帯主割合!G95,0)</f>
        <v>472</v>
      </c>
      <c r="N87">
        <f>ROUND($D87*年齢階級別男女別世帯主割合!H95,0)</f>
        <v>6</v>
      </c>
      <c r="O87">
        <f>ROUND($D87*年齢階級別男女別世帯主割合!I95,0)</f>
        <v>2</v>
      </c>
      <c r="P87">
        <f>ROUND($D87*年齢階級別男女別世帯主割合!J95,0)</f>
        <v>145</v>
      </c>
      <c r="Q87">
        <f>ROUND($D87*年齢階級別男女別世帯主割合!K95,0)</f>
        <v>46</v>
      </c>
      <c r="S87" s="40" t="s">
        <v>311</v>
      </c>
      <c r="T87">
        <f t="shared" si="12"/>
        <v>498</v>
      </c>
      <c r="U87">
        <f t="shared" si="13"/>
        <v>472</v>
      </c>
      <c r="V87">
        <f t="shared" si="14"/>
        <v>816</v>
      </c>
      <c r="W87">
        <f t="shared" si="15"/>
        <v>478</v>
      </c>
      <c r="X87">
        <f t="shared" si="16"/>
        <v>219</v>
      </c>
      <c r="Y87">
        <f t="shared" si="17"/>
        <v>229</v>
      </c>
      <c r="AD87" t="str">
        <f t="shared" si="18"/>
        <v>65</v>
      </c>
      <c r="AE87" s="40" t="s">
        <v>311</v>
      </c>
      <c r="AF87">
        <f t="shared" si="19"/>
        <v>970</v>
      </c>
    </row>
    <row r="88" spans="1:35" x14ac:dyDescent="0.45">
      <c r="A88" t="str">
        <f t="shared" si="10"/>
        <v>2040年</v>
      </c>
      <c r="B88" t="str">
        <f t="shared" si="11"/>
        <v>70-74歳</v>
      </c>
      <c r="C88">
        <f>VLOOKUP(B88,人口データテーブル!$J$23:$P$38,MATCH(A88,人口データテーブル!$J$23:$P$23,0),FALSE)</f>
        <v>1780</v>
      </c>
      <c r="D88">
        <f>VLOOKUP(B88,人口データテーブル!$J$42:$P$57,MATCH(A88,人口データテーブル!$J$42:$P$42,0),FALSE)</f>
        <v>2001</v>
      </c>
      <c r="G88" s="40" t="s">
        <v>312</v>
      </c>
      <c r="H88">
        <f>ROUND($C88*年齢階級別男女別世帯主割合!B96,0)</f>
        <v>371</v>
      </c>
      <c r="I88">
        <f>ROUND($C88*年齢階級別男女別世帯主割合!C96,0)</f>
        <v>743</v>
      </c>
      <c r="J88">
        <f>ROUND($C88*年齢階級別男女別世帯主割合!D96,0)</f>
        <v>331</v>
      </c>
      <c r="K88">
        <f>ROUND($C88*年齢階級別男女別世帯主割合!E96,0)</f>
        <v>38</v>
      </c>
      <c r="L88">
        <f>ROUND($C88*年齢階級別男女別世帯主割合!F96,0)</f>
        <v>135</v>
      </c>
      <c r="M88">
        <f>ROUND($D88*年齢階級別男女別世帯主割合!G96,0)</f>
        <v>429</v>
      </c>
      <c r="N88">
        <f>ROUND($D88*年齢階級別男女別世帯主割合!H96,0)</f>
        <v>4</v>
      </c>
      <c r="O88">
        <f>ROUND($D88*年齢階級別男女別世帯主割合!I96,0)</f>
        <v>1</v>
      </c>
      <c r="P88">
        <f>ROUND($D88*年齢階級別男女別世帯主割合!J96,0)</f>
        <v>112</v>
      </c>
      <c r="Q88">
        <f>ROUND($D88*年齢階級別男女別世帯主割合!K96,0)</f>
        <v>38</v>
      </c>
      <c r="S88" s="40" t="s">
        <v>312</v>
      </c>
      <c r="T88">
        <f t="shared" si="12"/>
        <v>371</v>
      </c>
      <c r="U88">
        <f t="shared" si="13"/>
        <v>429</v>
      </c>
      <c r="V88">
        <f t="shared" si="14"/>
        <v>747</v>
      </c>
      <c r="W88">
        <f t="shared" si="15"/>
        <v>332</v>
      </c>
      <c r="X88">
        <f t="shared" si="16"/>
        <v>150</v>
      </c>
      <c r="Y88">
        <f t="shared" si="17"/>
        <v>173</v>
      </c>
      <c r="AD88" t="str">
        <f t="shared" si="18"/>
        <v>70</v>
      </c>
      <c r="AE88" s="40" t="s">
        <v>312</v>
      </c>
      <c r="AF88">
        <f t="shared" si="19"/>
        <v>800</v>
      </c>
    </row>
    <row r="89" spans="1:35" x14ac:dyDescent="0.45">
      <c r="A89" t="str">
        <f t="shared" si="10"/>
        <v>2040年</v>
      </c>
      <c r="B89" t="str">
        <f t="shared" si="11"/>
        <v>75-79歳</v>
      </c>
      <c r="C89">
        <f>VLOOKUP(B89,人口データテーブル!$J$23:$P$38,MATCH(A89,人口データテーブル!$J$23:$P$23,0),FALSE)</f>
        <v>1341</v>
      </c>
      <c r="D89">
        <f>VLOOKUP(B89,人口データテーブル!$J$42:$P$57,MATCH(A89,人口データテーブル!$J$42:$P$42,0),FALSE)</f>
        <v>1593</v>
      </c>
      <c r="G89" s="40" t="s">
        <v>313</v>
      </c>
      <c r="H89">
        <f>ROUND($C89*年齢階級別男女別世帯主割合!B97,0)</f>
        <v>248</v>
      </c>
      <c r="I89">
        <f>ROUND($C89*年齢階級別男女別世帯主割合!C97,0)</f>
        <v>588</v>
      </c>
      <c r="J89">
        <f>ROUND($C89*年齢階級別男女別世帯主割合!D97,0)</f>
        <v>229</v>
      </c>
      <c r="K89">
        <f>ROUND($C89*年齢階級別男女別世帯主割合!E97,0)</f>
        <v>32</v>
      </c>
      <c r="L89">
        <f>ROUND($C89*年齢階級別男女別世帯主割合!F97,0)</f>
        <v>107</v>
      </c>
      <c r="M89">
        <f>ROUND($D89*年齢階級別男女別世帯主割合!G97,0)</f>
        <v>405</v>
      </c>
      <c r="N89">
        <f>ROUND($D89*年齢階級別男女別世帯主割合!H97,0)</f>
        <v>3</v>
      </c>
      <c r="O89">
        <f>ROUND($D89*年齢階級別男女別世帯主割合!I97,0)</f>
        <v>0</v>
      </c>
      <c r="P89">
        <f>ROUND($D89*年齢階級別男女別世帯主割合!J97,0)</f>
        <v>101</v>
      </c>
      <c r="Q89">
        <f>ROUND($D89*年齢階級別男女別世帯主割合!K97,0)</f>
        <v>33</v>
      </c>
      <c r="S89" s="40" t="s">
        <v>313</v>
      </c>
      <c r="T89">
        <f t="shared" si="12"/>
        <v>248</v>
      </c>
      <c r="U89">
        <f t="shared" si="13"/>
        <v>405</v>
      </c>
      <c r="V89">
        <f t="shared" si="14"/>
        <v>591</v>
      </c>
      <c r="W89">
        <f t="shared" si="15"/>
        <v>229</v>
      </c>
      <c r="X89">
        <f t="shared" si="16"/>
        <v>133</v>
      </c>
      <c r="Y89">
        <f t="shared" si="17"/>
        <v>140</v>
      </c>
      <c r="AD89" t="str">
        <f t="shared" si="18"/>
        <v>75</v>
      </c>
      <c r="AE89" s="40" t="s">
        <v>313</v>
      </c>
      <c r="AF89">
        <f t="shared" si="19"/>
        <v>653</v>
      </c>
    </row>
    <row r="90" spans="1:35" x14ac:dyDescent="0.45">
      <c r="A90" t="str">
        <f t="shared" si="10"/>
        <v>2040年</v>
      </c>
      <c r="B90" t="str">
        <f t="shared" si="11"/>
        <v>80-84歳</v>
      </c>
      <c r="C90">
        <f>VLOOKUP(B90,人口データテーブル!$J$23:$P$38,MATCH(A90,人口データテーブル!$J$23:$P$23,0),FALSE)</f>
        <v>897</v>
      </c>
      <c r="D90">
        <f>VLOOKUP(B90,人口データテーブル!$J$42:$P$57,MATCH(A90,人口データテーブル!$J$42:$P$42,0),FALSE)</f>
        <v>1189</v>
      </c>
      <c r="G90" s="40" t="s">
        <v>314</v>
      </c>
      <c r="H90">
        <f>ROUND($C90*年齢階級別男女別世帯主割合!B98,0)</f>
        <v>154</v>
      </c>
      <c r="I90">
        <f>ROUND($C90*年齢階級別男女別世帯主割合!C98,0)</f>
        <v>389</v>
      </c>
      <c r="J90">
        <f>ROUND($C90*年齢階級別男女別世帯主割合!D98,0)</f>
        <v>140</v>
      </c>
      <c r="K90">
        <f>ROUND($C90*年齢階級別男女別世帯主割合!E98,0)</f>
        <v>25</v>
      </c>
      <c r="L90">
        <f>ROUND($C90*年齢階級別男女別世帯主割合!F98,0)</f>
        <v>78</v>
      </c>
      <c r="M90">
        <f>ROUND($D90*年齢階級別男女別世帯主割合!G98,0)</f>
        <v>336</v>
      </c>
      <c r="N90">
        <f>ROUND($D90*年齢階級別男女別世帯主割合!H98,0)</f>
        <v>1</v>
      </c>
      <c r="O90">
        <f>ROUND($D90*年齢階級別男女別世帯主割合!I98,0)</f>
        <v>0</v>
      </c>
      <c r="P90">
        <f>ROUND($D90*年齢階級別男女別世帯主割合!J98,0)</f>
        <v>76</v>
      </c>
      <c r="Q90">
        <f>ROUND($D90*年齢階級別男女別世帯主割合!K98,0)</f>
        <v>24</v>
      </c>
      <c r="S90" s="40" t="s">
        <v>314</v>
      </c>
      <c r="T90">
        <f t="shared" si="12"/>
        <v>154</v>
      </c>
      <c r="U90">
        <f t="shared" si="13"/>
        <v>336</v>
      </c>
      <c r="V90">
        <f t="shared" si="14"/>
        <v>390</v>
      </c>
      <c r="W90">
        <f t="shared" si="15"/>
        <v>140</v>
      </c>
      <c r="X90">
        <f t="shared" si="16"/>
        <v>101</v>
      </c>
      <c r="Y90">
        <f t="shared" si="17"/>
        <v>102</v>
      </c>
      <c r="AD90" t="str">
        <f t="shared" si="18"/>
        <v>80</v>
      </c>
      <c r="AE90" s="40" t="s">
        <v>314</v>
      </c>
      <c r="AF90">
        <f t="shared" si="19"/>
        <v>490</v>
      </c>
    </row>
    <row r="91" spans="1:35" x14ac:dyDescent="0.45">
      <c r="A91" t="str">
        <f t="shared" si="10"/>
        <v>2040年</v>
      </c>
      <c r="B91" t="str">
        <f t="shared" si="11"/>
        <v>85歳以上</v>
      </c>
      <c r="C91">
        <f>VLOOKUP(B91,人口データテーブル!$J$23:$P$38,MATCH(A91,人口データテーブル!$J$23:$P$23,0),FALSE)</f>
        <v>1169</v>
      </c>
      <c r="D91">
        <f>VLOOKUP(B91,人口データテーブル!$J$42:$P$57,MATCH(A91,人口データテーブル!$J$42:$P$42,0),FALSE)</f>
        <v>2314</v>
      </c>
      <c r="G91" s="40" t="s">
        <v>315</v>
      </c>
      <c r="H91">
        <f>ROUND($C91*年齢階級別男女別世帯主割合!B99,0)</f>
        <v>188</v>
      </c>
      <c r="I91">
        <f>ROUND($C91*年齢階級別男女別世帯主割合!C99,0)</f>
        <v>401</v>
      </c>
      <c r="J91">
        <f>ROUND($C91*年齢階級別男女別世帯主割合!D99,0)</f>
        <v>127</v>
      </c>
      <c r="K91">
        <f>ROUND($C91*年齢階級別男女別世帯主割合!E99,0)</f>
        <v>42</v>
      </c>
      <c r="L91">
        <f>ROUND($C91*年齢階級別男女別世帯主割合!F99,0)</f>
        <v>103</v>
      </c>
      <c r="M91">
        <f>ROUND($D91*年齢階級別男女別世帯主割合!G99,0)</f>
        <v>525</v>
      </c>
      <c r="N91">
        <f>ROUND($D91*年齢階級別男女別世帯主割合!H99,0)</f>
        <v>1</v>
      </c>
      <c r="O91">
        <f>ROUND($D91*年齢階級別男女別世帯主割合!I99,0)</f>
        <v>0</v>
      </c>
      <c r="P91">
        <f>ROUND($D91*年齢階級別男女別世帯主割合!J99,0)</f>
        <v>118</v>
      </c>
      <c r="Q91">
        <f>ROUND($D91*年齢階級別男女別世帯主割合!K99,0)</f>
        <v>39</v>
      </c>
      <c r="S91" s="40" t="s">
        <v>315</v>
      </c>
      <c r="T91">
        <f t="shared" si="12"/>
        <v>188</v>
      </c>
      <c r="U91">
        <f t="shared" si="13"/>
        <v>525</v>
      </c>
      <c r="V91">
        <f t="shared" si="14"/>
        <v>402</v>
      </c>
      <c r="W91">
        <f t="shared" si="15"/>
        <v>127</v>
      </c>
      <c r="X91">
        <f t="shared" si="16"/>
        <v>160</v>
      </c>
      <c r="Y91">
        <f t="shared" si="17"/>
        <v>142</v>
      </c>
      <c r="AD91" t="str">
        <f t="shared" si="18"/>
        <v>85</v>
      </c>
      <c r="AE91" s="40" t="s">
        <v>315</v>
      </c>
      <c r="AF91">
        <f t="shared" si="19"/>
        <v>713</v>
      </c>
    </row>
    <row r="93" spans="1:35" x14ac:dyDescent="0.45">
      <c r="AE93" s="111"/>
      <c r="AF93" s="40" t="s">
        <v>316</v>
      </c>
      <c r="AG93" s="40" t="s">
        <v>317</v>
      </c>
      <c r="AH93" s="40" t="s">
        <v>318</v>
      </c>
      <c r="AI93" s="40" t="s">
        <v>44</v>
      </c>
    </row>
    <row r="94" spans="1:35" x14ac:dyDescent="0.45">
      <c r="T94" s="85"/>
      <c r="U94" s="85" t="s">
        <v>30</v>
      </c>
      <c r="V94" s="85" t="s">
        <v>31</v>
      </c>
      <c r="W94" s="85" t="s">
        <v>32</v>
      </c>
      <c r="X94" s="85" t="s">
        <v>33</v>
      </c>
      <c r="Y94" s="85" t="s">
        <v>34</v>
      </c>
      <c r="Z94" s="85" t="s">
        <v>35</v>
      </c>
      <c r="AA94" s="85" t="s">
        <v>36</v>
      </c>
      <c r="AE94" s="40" t="s">
        <v>2</v>
      </c>
      <c r="AF94" s="114">
        <f>SUM(SUMIFS($AF$2:$AF$91,$AD$2:$AD$91,{"65","70"},$AE$2:$AE$91,"*2015*"))</f>
        <v>781</v>
      </c>
      <c r="AG94" s="114">
        <f>SUM(SUMIFS($AF$2:$AF$91,$AD$2:$AD$91,{"75","80"},$AE$2:$AE$91,"*2015*"))</f>
        <v>516</v>
      </c>
      <c r="AH94" s="114">
        <f>SUMIFS($AF$2:$AF$91,$AD$2:$AD$91,"85",$AE$2:$AE$91,"*2015*")</f>
        <v>186</v>
      </c>
      <c r="AI94" s="114">
        <f>SUM(AF94:AH94)</f>
        <v>1483</v>
      </c>
    </row>
    <row r="95" spans="1:35" x14ac:dyDescent="0.45">
      <c r="F95" t="s">
        <v>319</v>
      </c>
      <c r="G95" s="39" t="s">
        <v>2</v>
      </c>
      <c r="H95">
        <f>SUMIFS(H$2:H$91,$F$2:$F$91,"*",$G$2:$G$91,"*2015*")</f>
        <v>3985</v>
      </c>
      <c r="I95">
        <f t="shared" ref="I95:Q95" si="20">SUMIFS(I$2:I$91,$F$2:$F$91,"*",$G$2:$G$91,"*2015*")</f>
        <v>1740</v>
      </c>
      <c r="J95">
        <f t="shared" si="20"/>
        <v>5632</v>
      </c>
      <c r="K95">
        <f t="shared" si="20"/>
        <v>365</v>
      </c>
      <c r="L95">
        <f t="shared" si="20"/>
        <v>1026</v>
      </c>
      <c r="M95">
        <f t="shared" si="20"/>
        <v>2004</v>
      </c>
      <c r="N95">
        <f t="shared" si="20"/>
        <v>44</v>
      </c>
      <c r="O95">
        <f t="shared" si="20"/>
        <v>59</v>
      </c>
      <c r="P95">
        <f t="shared" si="20"/>
        <v>955</v>
      </c>
      <c r="Q95">
        <f t="shared" si="20"/>
        <v>186</v>
      </c>
      <c r="S95" s="85" t="s">
        <v>2</v>
      </c>
      <c r="T95" t="s">
        <v>320</v>
      </c>
      <c r="U95">
        <f>V95+W95</f>
        <v>5989</v>
      </c>
      <c r="V95">
        <f>H95</f>
        <v>3985</v>
      </c>
      <c r="W95">
        <f>M95</f>
        <v>2004</v>
      </c>
      <c r="X95">
        <f>I95+N95</f>
        <v>1784</v>
      </c>
      <c r="Y95">
        <f>J95+O95</f>
        <v>5691</v>
      </c>
      <c r="Z95">
        <f>K95+P95</f>
        <v>1320</v>
      </c>
      <c r="AA95">
        <f>L95+Q95</f>
        <v>1212</v>
      </c>
      <c r="AE95" s="40" t="s">
        <v>3</v>
      </c>
      <c r="AF95" s="114">
        <f>SUM(SUMIFS($AF$2:$AF$91,$AD$2:$AD$91,{"65","70"},$AE$2:$AE$91,"*2020*"))</f>
        <v>864</v>
      </c>
      <c r="AG95" s="114">
        <f>SUM(SUMIFS($AF$2:$AF$91,$AD$2:$AD$91,{"75","80"},$AE$2:$AE$91,"*2020*"))</f>
        <v>711</v>
      </c>
      <c r="AH95" s="114">
        <f>SUMIFS($AF$2:$AF$91,$AD$2:$AD$91,"85",$AE$2:$AE$91,"*2020*")</f>
        <v>279</v>
      </c>
      <c r="AI95" s="114">
        <f t="shared" ref="AI95:AI99" si="21">SUM(AF95:AH95)</f>
        <v>1854</v>
      </c>
    </row>
    <row r="96" spans="1:35" x14ac:dyDescent="0.45">
      <c r="F96" t="s">
        <v>321</v>
      </c>
      <c r="G96" s="39" t="s">
        <v>2</v>
      </c>
      <c r="H96">
        <f>SUMIFS(H$2:H$91,$F$2:$F$91,"&lt;&gt;*",$G$2:$G$91,"*2015*")</f>
        <v>525</v>
      </c>
      <c r="I96">
        <f t="shared" ref="I96:Q96" si="22">SUMIFS(I$2:I$91,$F$2:$F$91,"&lt;&gt;*",$G$2:$G$91,"*2015*")</f>
        <v>1708</v>
      </c>
      <c r="J96">
        <f t="shared" si="22"/>
        <v>828</v>
      </c>
      <c r="K96">
        <f t="shared" si="22"/>
        <v>111</v>
      </c>
      <c r="L96">
        <f t="shared" si="22"/>
        <v>493</v>
      </c>
      <c r="M96">
        <f t="shared" si="22"/>
        <v>958</v>
      </c>
      <c r="N96">
        <f t="shared" si="22"/>
        <v>7</v>
      </c>
      <c r="O96">
        <f t="shared" si="22"/>
        <v>2</v>
      </c>
      <c r="P96">
        <f t="shared" si="22"/>
        <v>270</v>
      </c>
      <c r="Q96">
        <f t="shared" si="22"/>
        <v>97</v>
      </c>
      <c r="S96" s="85" t="s">
        <v>2</v>
      </c>
      <c r="T96" t="s">
        <v>322</v>
      </c>
      <c r="U96">
        <f t="shared" ref="U96:U106" si="23">V96+W96</f>
        <v>1483</v>
      </c>
      <c r="V96">
        <f t="shared" ref="V96:V106" si="24">H96</f>
        <v>525</v>
      </c>
      <c r="W96">
        <f t="shared" ref="W96:W106" si="25">M96</f>
        <v>958</v>
      </c>
      <c r="X96">
        <f t="shared" ref="X96:X106" si="26">I96+N96</f>
        <v>1715</v>
      </c>
      <c r="Y96">
        <f t="shared" ref="Y96:Y106" si="27">J96+O96</f>
        <v>830</v>
      </c>
      <c r="Z96">
        <f t="shared" ref="Z96:Z106" si="28">K96+P96</f>
        <v>381</v>
      </c>
      <c r="AA96">
        <f t="shared" ref="AA96:AA106" si="29">L96+Q96</f>
        <v>590</v>
      </c>
      <c r="AE96" s="40" t="s">
        <v>4</v>
      </c>
      <c r="AF96" s="114">
        <f>SUM(SUMIFS($AF$2:$AF$91,$AD$2:$AD$91,{"65","70"},$AE$2:$AE$91,"*2025*"))</f>
        <v>853</v>
      </c>
      <c r="AG96" s="114">
        <f>SUM(SUMIFS($AF$2:$AF$91,$AD$2:$AD$91,{"75","80"},$AE$2:$AE$91,"*2025*"))</f>
        <v>955</v>
      </c>
      <c r="AH96" s="114">
        <f>SUMIFS($AF$2:$AF$91,$AD$2:$AD$91,"85",$AE$2:$AE$91,"*2025*")</f>
        <v>379</v>
      </c>
      <c r="AI96" s="114">
        <f t="shared" si="21"/>
        <v>2187</v>
      </c>
    </row>
    <row r="97" spans="1:35" x14ac:dyDescent="0.45">
      <c r="A97" t="s">
        <v>323</v>
      </c>
      <c r="F97" t="s">
        <v>319</v>
      </c>
      <c r="G97" s="39" t="s">
        <v>3</v>
      </c>
      <c r="H97">
        <f t="shared" ref="H97:Q97" si="30">SUMIFS(H$2:H$91,$F$2:$F$91,"*",$G$2:$G$91,"*2020*")</f>
        <v>4313</v>
      </c>
      <c r="I97">
        <f t="shared" si="30"/>
        <v>1874</v>
      </c>
      <c r="J97">
        <f t="shared" si="30"/>
        <v>5924</v>
      </c>
      <c r="K97">
        <f t="shared" si="30"/>
        <v>429</v>
      </c>
      <c r="L97">
        <f t="shared" si="30"/>
        <v>966</v>
      </c>
      <c r="M97">
        <f t="shared" si="30"/>
        <v>2302</v>
      </c>
      <c r="N97">
        <f t="shared" si="30"/>
        <v>48</v>
      </c>
      <c r="O97">
        <f t="shared" si="30"/>
        <v>62</v>
      </c>
      <c r="P97">
        <f t="shared" si="30"/>
        <v>1117</v>
      </c>
      <c r="Q97">
        <f t="shared" si="30"/>
        <v>198</v>
      </c>
      <c r="S97" s="85" t="s">
        <v>3</v>
      </c>
      <c r="T97" t="s">
        <v>320</v>
      </c>
      <c r="U97">
        <f t="shared" si="23"/>
        <v>6615</v>
      </c>
      <c r="V97">
        <f t="shared" si="24"/>
        <v>4313</v>
      </c>
      <c r="W97">
        <f t="shared" si="25"/>
        <v>2302</v>
      </c>
      <c r="X97">
        <f t="shared" si="26"/>
        <v>1922</v>
      </c>
      <c r="Y97">
        <f t="shared" si="27"/>
        <v>5986</v>
      </c>
      <c r="Z97">
        <f t="shared" si="28"/>
        <v>1546</v>
      </c>
      <c r="AA97">
        <f t="shared" si="29"/>
        <v>1164</v>
      </c>
      <c r="AE97" s="40" t="s">
        <v>5</v>
      </c>
      <c r="AF97" s="114">
        <f>SUM(SUMIFS($AF$2:$AF$91,$AD$2:$AD$91,{"65","70"},$AE$2:$AE$91,"*2030*"))</f>
        <v>1045</v>
      </c>
      <c r="AG97" s="114">
        <f>SUM(SUMIFS($AF$2:$AF$91,$AD$2:$AD$91,{"75","80"},$AE$2:$AE$91,"*2030*"))</f>
        <v>1023</v>
      </c>
      <c r="AH97" s="114">
        <f>SUMIFS($AF$2:$AF$91,$AD$2:$AD$91,"85",$AE$2:$AE$91,"*2030*")</f>
        <v>516</v>
      </c>
      <c r="AI97" s="114">
        <f t="shared" si="21"/>
        <v>2584</v>
      </c>
    </row>
    <row r="98" spans="1:35" x14ac:dyDescent="0.45">
      <c r="F98" t="s">
        <v>321</v>
      </c>
      <c r="G98" s="39" t="s">
        <v>3</v>
      </c>
      <c r="H98">
        <f t="shared" ref="H98:Q98" si="31">SUMIFS(H$2:H$91,$F$2:$F$91,"&lt;&gt;*",$G$2:$G$91,"*2020*")</f>
        <v>667</v>
      </c>
      <c r="I98">
        <f t="shared" si="31"/>
        <v>1965</v>
      </c>
      <c r="J98">
        <f t="shared" si="31"/>
        <v>909</v>
      </c>
      <c r="K98">
        <f t="shared" si="31"/>
        <v>131</v>
      </c>
      <c r="L98">
        <f t="shared" si="31"/>
        <v>514</v>
      </c>
      <c r="M98">
        <f t="shared" si="31"/>
        <v>1187</v>
      </c>
      <c r="N98">
        <f t="shared" si="31"/>
        <v>9</v>
      </c>
      <c r="O98">
        <f t="shared" si="31"/>
        <v>2</v>
      </c>
      <c r="P98">
        <f t="shared" si="31"/>
        <v>329</v>
      </c>
      <c r="Q98">
        <f t="shared" si="31"/>
        <v>109</v>
      </c>
      <c r="S98" s="85" t="s">
        <v>3</v>
      </c>
      <c r="T98" t="s">
        <v>322</v>
      </c>
      <c r="U98">
        <f t="shared" si="23"/>
        <v>1854</v>
      </c>
      <c r="V98">
        <f t="shared" si="24"/>
        <v>667</v>
      </c>
      <c r="W98">
        <f t="shared" si="25"/>
        <v>1187</v>
      </c>
      <c r="X98">
        <f t="shared" si="26"/>
        <v>1974</v>
      </c>
      <c r="Y98">
        <f t="shared" si="27"/>
        <v>911</v>
      </c>
      <c r="Z98">
        <f t="shared" si="28"/>
        <v>460</v>
      </c>
      <c r="AA98">
        <f t="shared" si="29"/>
        <v>623</v>
      </c>
      <c r="AE98" s="40" t="s">
        <v>6</v>
      </c>
      <c r="AF98" s="114">
        <f>SUM(SUMIFS($AF$2:$AF$91,$AD$2:$AD$91,{"65","70"},$AE$2:$AE$91,"*2035*"))</f>
        <v>1394</v>
      </c>
      <c r="AG98" s="114">
        <f>SUM(SUMIFS($AF$2:$AF$91,$AD$2:$AD$91,{"75","80"},$AE$2:$AE$91,"*2035*"))</f>
        <v>977</v>
      </c>
      <c r="AH98" s="114">
        <f>SUMIFS($AF$2:$AF$91,$AD$2:$AD$91,"85",$AE$2:$AE$91,"*2035*")</f>
        <v>677</v>
      </c>
      <c r="AI98" s="114">
        <f t="shared" si="21"/>
        <v>3048</v>
      </c>
    </row>
    <row r="99" spans="1:35" x14ac:dyDescent="0.45">
      <c r="F99" t="s">
        <v>319</v>
      </c>
      <c r="G99" s="39" t="s">
        <v>4</v>
      </c>
      <c r="H99">
        <f t="shared" ref="H99:Q99" si="32">SUMIFS(H$2:H$91,$F$2:$F$91,"*",$G$2:$G$91,"*2025*")</f>
        <v>4563</v>
      </c>
      <c r="I99">
        <f t="shared" si="32"/>
        <v>2082</v>
      </c>
      <c r="J99">
        <f t="shared" si="32"/>
        <v>6068</v>
      </c>
      <c r="K99">
        <f t="shared" si="32"/>
        <v>487</v>
      </c>
      <c r="L99">
        <f t="shared" si="32"/>
        <v>943</v>
      </c>
      <c r="M99">
        <f t="shared" si="32"/>
        <v>2560</v>
      </c>
      <c r="N99">
        <f t="shared" si="32"/>
        <v>52</v>
      </c>
      <c r="O99">
        <f t="shared" si="32"/>
        <v>64</v>
      </c>
      <c r="P99">
        <f t="shared" si="32"/>
        <v>1241</v>
      </c>
      <c r="Q99">
        <f t="shared" si="32"/>
        <v>215</v>
      </c>
      <c r="S99" s="85" t="s">
        <v>4</v>
      </c>
      <c r="T99" t="s">
        <v>320</v>
      </c>
      <c r="U99">
        <f t="shared" si="23"/>
        <v>7123</v>
      </c>
      <c r="V99">
        <f t="shared" si="24"/>
        <v>4563</v>
      </c>
      <c r="W99">
        <f t="shared" si="25"/>
        <v>2560</v>
      </c>
      <c r="X99">
        <f t="shared" si="26"/>
        <v>2134</v>
      </c>
      <c r="Y99">
        <f t="shared" si="27"/>
        <v>6132</v>
      </c>
      <c r="Z99">
        <f t="shared" si="28"/>
        <v>1728</v>
      </c>
      <c r="AA99">
        <f t="shared" si="29"/>
        <v>1158</v>
      </c>
      <c r="AE99" s="40" t="s">
        <v>7</v>
      </c>
      <c r="AF99" s="114">
        <f>SUM(SUMIFS($AF$2:$AF$91,$AD$2:$AD$91,{"65","70"},$AE$2:$AE$91,"*2040*"))</f>
        <v>1770</v>
      </c>
      <c r="AG99" s="114">
        <f>SUM(SUMIFS($AF$2:$AF$91,$AD$2:$AD$91,{"75","80"},$AE$2:$AE$91,"*2040*"))</f>
        <v>1143</v>
      </c>
      <c r="AH99" s="114">
        <f>SUMIFS($AF$2:$AF$91,$AD$2:$AD$91,"85",$AE$2:$AE$91,"*2040*")</f>
        <v>713</v>
      </c>
      <c r="AI99" s="114">
        <f t="shared" si="21"/>
        <v>3626</v>
      </c>
    </row>
    <row r="100" spans="1:35" x14ac:dyDescent="0.45">
      <c r="F100" t="s">
        <v>321</v>
      </c>
      <c r="G100" s="39" t="s">
        <v>4</v>
      </c>
      <c r="H100">
        <f t="shared" ref="H100:Q100" si="33">SUMIFS(H$2:H$91,$F$2:$F$91,"&lt;&gt;*",$G$2:$G$91,"*2025*")</f>
        <v>791</v>
      </c>
      <c r="I100">
        <f t="shared" si="33"/>
        <v>2106</v>
      </c>
      <c r="J100">
        <f t="shared" si="33"/>
        <v>941</v>
      </c>
      <c r="K100">
        <f t="shared" si="33"/>
        <v>150</v>
      </c>
      <c r="L100">
        <f t="shared" si="33"/>
        <v>517</v>
      </c>
      <c r="M100">
        <f t="shared" si="33"/>
        <v>1396</v>
      </c>
      <c r="N100">
        <f t="shared" si="33"/>
        <v>9</v>
      </c>
      <c r="O100">
        <f t="shared" si="33"/>
        <v>2</v>
      </c>
      <c r="P100">
        <f t="shared" si="33"/>
        <v>376</v>
      </c>
      <c r="Q100">
        <f t="shared" si="33"/>
        <v>121</v>
      </c>
      <c r="S100" s="85" t="s">
        <v>4</v>
      </c>
      <c r="T100" t="s">
        <v>322</v>
      </c>
      <c r="U100">
        <f t="shared" si="23"/>
        <v>2187</v>
      </c>
      <c r="V100">
        <f t="shared" si="24"/>
        <v>791</v>
      </c>
      <c r="W100">
        <f t="shared" si="25"/>
        <v>1396</v>
      </c>
      <c r="X100">
        <f t="shared" si="26"/>
        <v>2115</v>
      </c>
      <c r="Y100">
        <f t="shared" si="27"/>
        <v>943</v>
      </c>
      <c r="Z100">
        <f t="shared" si="28"/>
        <v>526</v>
      </c>
      <c r="AA100">
        <f t="shared" si="29"/>
        <v>638</v>
      </c>
    </row>
    <row r="101" spans="1:35" x14ac:dyDescent="0.45">
      <c r="F101" t="s">
        <v>319</v>
      </c>
      <c r="G101" s="39" t="s">
        <v>5</v>
      </c>
      <c r="H101">
        <f t="shared" ref="H101:Q101" si="34">SUMIFS(H$2:H$91,$F$2:$F$91,"*",$G$2:$G$91,"*2030*")</f>
        <v>4675</v>
      </c>
      <c r="I101">
        <f t="shared" si="34"/>
        <v>2207</v>
      </c>
      <c r="J101">
        <f t="shared" si="34"/>
        <v>6034</v>
      </c>
      <c r="K101">
        <f t="shared" si="34"/>
        <v>519</v>
      </c>
      <c r="L101">
        <f t="shared" si="34"/>
        <v>912</v>
      </c>
      <c r="M101">
        <f t="shared" si="34"/>
        <v>2748</v>
      </c>
      <c r="N101">
        <f t="shared" si="34"/>
        <v>54</v>
      </c>
      <c r="O101">
        <f t="shared" si="34"/>
        <v>67</v>
      </c>
      <c r="P101">
        <f t="shared" si="34"/>
        <v>1316</v>
      </c>
      <c r="Q101">
        <f t="shared" si="34"/>
        <v>226</v>
      </c>
      <c r="S101" s="85" t="s">
        <v>5</v>
      </c>
      <c r="T101" t="s">
        <v>320</v>
      </c>
      <c r="U101">
        <f t="shared" si="23"/>
        <v>7423</v>
      </c>
      <c r="V101">
        <f t="shared" si="24"/>
        <v>4675</v>
      </c>
      <c r="W101">
        <f t="shared" si="25"/>
        <v>2748</v>
      </c>
      <c r="X101">
        <f t="shared" si="26"/>
        <v>2261</v>
      </c>
      <c r="Y101">
        <f t="shared" si="27"/>
        <v>6101</v>
      </c>
      <c r="Z101">
        <f t="shared" si="28"/>
        <v>1835</v>
      </c>
      <c r="AA101">
        <f t="shared" si="29"/>
        <v>1138</v>
      </c>
    </row>
    <row r="102" spans="1:35" x14ac:dyDescent="0.45">
      <c r="F102" t="s">
        <v>321</v>
      </c>
      <c r="G102" s="39" t="s">
        <v>5</v>
      </c>
      <c r="H102">
        <f t="shared" ref="H102:Q102" si="35">SUMIFS(H$2:H$91,$F$2:$F$91,"&lt;&gt;*",$G$2:$G$91,"*2030*")</f>
        <v>974</v>
      </c>
      <c r="I102">
        <f t="shared" si="35"/>
        <v>2293</v>
      </c>
      <c r="J102">
        <f t="shared" si="35"/>
        <v>1019</v>
      </c>
      <c r="K102">
        <f t="shared" si="35"/>
        <v>173</v>
      </c>
      <c r="L102">
        <f t="shared" si="35"/>
        <v>535</v>
      </c>
      <c r="M102">
        <f t="shared" si="35"/>
        <v>1610</v>
      </c>
      <c r="N102">
        <f t="shared" si="35"/>
        <v>11</v>
      </c>
      <c r="O102">
        <f t="shared" si="35"/>
        <v>2</v>
      </c>
      <c r="P102">
        <f t="shared" si="35"/>
        <v>428</v>
      </c>
      <c r="Q102">
        <f t="shared" si="35"/>
        <v>133</v>
      </c>
      <c r="S102" s="85" t="s">
        <v>5</v>
      </c>
      <c r="T102" t="s">
        <v>322</v>
      </c>
      <c r="U102">
        <f t="shared" si="23"/>
        <v>2584</v>
      </c>
      <c r="V102">
        <f t="shared" si="24"/>
        <v>974</v>
      </c>
      <c r="W102">
        <f t="shared" si="25"/>
        <v>1610</v>
      </c>
      <c r="X102">
        <f t="shared" si="26"/>
        <v>2304</v>
      </c>
      <c r="Y102">
        <f t="shared" si="27"/>
        <v>1021</v>
      </c>
      <c r="Z102">
        <f t="shared" si="28"/>
        <v>601</v>
      </c>
      <c r="AA102">
        <f t="shared" si="29"/>
        <v>668</v>
      </c>
    </row>
    <row r="103" spans="1:35" x14ac:dyDescent="0.45">
      <c r="F103" t="s">
        <v>319</v>
      </c>
      <c r="G103" s="39" t="s">
        <v>6</v>
      </c>
      <c r="H103">
        <f t="shared" ref="H103:Q103" si="36">SUMIFS(H$2:H$91,$F$2:$F$91,"*",$G$2:$G$91,"*2035*")</f>
        <v>4660</v>
      </c>
      <c r="I103">
        <f t="shared" si="36"/>
        <v>2233</v>
      </c>
      <c r="J103">
        <f t="shared" si="36"/>
        <v>5879</v>
      </c>
      <c r="K103">
        <f t="shared" si="36"/>
        <v>536</v>
      </c>
      <c r="L103">
        <f t="shared" si="36"/>
        <v>869</v>
      </c>
      <c r="M103">
        <f t="shared" si="36"/>
        <v>2844</v>
      </c>
      <c r="N103">
        <f t="shared" si="36"/>
        <v>53</v>
      </c>
      <c r="O103">
        <f t="shared" si="36"/>
        <v>67</v>
      </c>
      <c r="P103">
        <f t="shared" si="36"/>
        <v>1355</v>
      </c>
      <c r="Q103">
        <f t="shared" si="36"/>
        <v>231</v>
      </c>
      <c r="S103" s="85" t="s">
        <v>6</v>
      </c>
      <c r="T103" t="s">
        <v>320</v>
      </c>
      <c r="U103">
        <f t="shared" si="23"/>
        <v>7504</v>
      </c>
      <c r="V103">
        <f t="shared" si="24"/>
        <v>4660</v>
      </c>
      <c r="W103">
        <f t="shared" si="25"/>
        <v>2844</v>
      </c>
      <c r="X103">
        <f t="shared" si="26"/>
        <v>2286</v>
      </c>
      <c r="Y103">
        <f t="shared" si="27"/>
        <v>5946</v>
      </c>
      <c r="Z103">
        <f t="shared" si="28"/>
        <v>1891</v>
      </c>
      <c r="AA103">
        <f t="shared" si="29"/>
        <v>1100</v>
      </c>
    </row>
    <row r="104" spans="1:35" x14ac:dyDescent="0.45">
      <c r="F104" t="s">
        <v>321</v>
      </c>
      <c r="G104" s="39" t="s">
        <v>6</v>
      </c>
      <c r="H104">
        <f t="shared" ref="H104:Q104" si="37">SUMIFS(H$2:H$91,$F$2:$F$91,"&lt;&gt;*",$G$2:$G$91,"*2035*")</f>
        <v>1201</v>
      </c>
      <c r="I104">
        <f t="shared" si="37"/>
        <v>2555</v>
      </c>
      <c r="J104">
        <f t="shared" si="37"/>
        <v>1134</v>
      </c>
      <c r="K104">
        <f t="shared" si="37"/>
        <v>198</v>
      </c>
      <c r="L104">
        <f t="shared" si="37"/>
        <v>560</v>
      </c>
      <c r="M104">
        <f t="shared" si="37"/>
        <v>1847</v>
      </c>
      <c r="N104">
        <f t="shared" si="37"/>
        <v>11</v>
      </c>
      <c r="O104">
        <f t="shared" si="37"/>
        <v>3</v>
      </c>
      <c r="P104">
        <f t="shared" si="37"/>
        <v>481</v>
      </c>
      <c r="Q104">
        <f t="shared" si="37"/>
        <v>153</v>
      </c>
      <c r="S104" s="85" t="s">
        <v>6</v>
      </c>
      <c r="T104" t="s">
        <v>322</v>
      </c>
      <c r="U104">
        <f t="shared" si="23"/>
        <v>3048</v>
      </c>
      <c r="V104">
        <f t="shared" si="24"/>
        <v>1201</v>
      </c>
      <c r="W104">
        <f t="shared" si="25"/>
        <v>1847</v>
      </c>
      <c r="X104">
        <f t="shared" si="26"/>
        <v>2566</v>
      </c>
      <c r="Y104">
        <f t="shared" si="27"/>
        <v>1137</v>
      </c>
      <c r="Z104">
        <f t="shared" si="28"/>
        <v>679</v>
      </c>
      <c r="AA104">
        <f t="shared" si="29"/>
        <v>713</v>
      </c>
    </row>
    <row r="105" spans="1:35" x14ac:dyDescent="0.45">
      <c r="F105" t="s">
        <v>319</v>
      </c>
      <c r="G105" s="39" t="s">
        <v>7</v>
      </c>
      <c r="H105">
        <f t="shared" ref="H105:Q105" si="38">SUMIFS(H$2:H$91,$F$2:$F$91,"*",$G$2:$G$91,"*2040*")</f>
        <v>4522</v>
      </c>
      <c r="I105">
        <f t="shared" si="38"/>
        <v>2106</v>
      </c>
      <c r="J105">
        <f t="shared" si="38"/>
        <v>5622</v>
      </c>
      <c r="K105">
        <f t="shared" si="38"/>
        <v>534</v>
      </c>
      <c r="L105">
        <f t="shared" si="38"/>
        <v>802</v>
      </c>
      <c r="M105">
        <f t="shared" si="38"/>
        <v>2806</v>
      </c>
      <c r="N105">
        <f t="shared" si="38"/>
        <v>53</v>
      </c>
      <c r="O105">
        <f t="shared" si="38"/>
        <v>67</v>
      </c>
      <c r="P105">
        <f t="shared" si="38"/>
        <v>1356</v>
      </c>
      <c r="Q105">
        <f t="shared" si="38"/>
        <v>219</v>
      </c>
      <c r="S105" s="85" t="s">
        <v>7</v>
      </c>
      <c r="T105" t="s">
        <v>320</v>
      </c>
      <c r="U105">
        <f t="shared" si="23"/>
        <v>7328</v>
      </c>
      <c r="V105">
        <f t="shared" si="24"/>
        <v>4522</v>
      </c>
      <c r="W105">
        <f t="shared" si="25"/>
        <v>2806</v>
      </c>
      <c r="X105">
        <f t="shared" si="26"/>
        <v>2159</v>
      </c>
      <c r="Y105">
        <f t="shared" si="27"/>
        <v>5689</v>
      </c>
      <c r="Z105">
        <f t="shared" si="28"/>
        <v>1890</v>
      </c>
      <c r="AA105">
        <f t="shared" si="29"/>
        <v>1021</v>
      </c>
    </row>
    <row r="106" spans="1:35" x14ac:dyDescent="0.45">
      <c r="F106" t="s">
        <v>321</v>
      </c>
      <c r="G106" s="39" t="s">
        <v>7</v>
      </c>
      <c r="H106">
        <f t="shared" ref="H106:Q106" si="39">SUMIFS(H$2:H$91,$F$2:$F$91,"&lt;&gt;*",$G$2:$G$91,"*2040*")</f>
        <v>1459</v>
      </c>
      <c r="I106">
        <f t="shared" si="39"/>
        <v>2931</v>
      </c>
      <c r="J106">
        <f t="shared" si="39"/>
        <v>1303</v>
      </c>
      <c r="K106">
        <f t="shared" si="39"/>
        <v>211</v>
      </c>
      <c r="L106">
        <f t="shared" si="39"/>
        <v>606</v>
      </c>
      <c r="M106">
        <f t="shared" si="39"/>
        <v>2167</v>
      </c>
      <c r="N106">
        <f t="shared" si="39"/>
        <v>15</v>
      </c>
      <c r="O106">
        <f t="shared" si="39"/>
        <v>3</v>
      </c>
      <c r="P106">
        <f t="shared" si="39"/>
        <v>552</v>
      </c>
      <c r="Q106">
        <f t="shared" si="39"/>
        <v>180</v>
      </c>
      <c r="S106" s="85" t="s">
        <v>7</v>
      </c>
      <c r="T106" t="s">
        <v>322</v>
      </c>
      <c r="U106">
        <f t="shared" si="23"/>
        <v>3626</v>
      </c>
      <c r="V106">
        <f t="shared" si="24"/>
        <v>1459</v>
      </c>
      <c r="W106">
        <f t="shared" si="25"/>
        <v>2167</v>
      </c>
      <c r="X106">
        <f t="shared" si="26"/>
        <v>2946</v>
      </c>
      <c r="Y106">
        <f t="shared" si="27"/>
        <v>1306</v>
      </c>
      <c r="Z106">
        <f t="shared" si="28"/>
        <v>763</v>
      </c>
      <c r="AA106">
        <f t="shared" si="29"/>
        <v>786</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B548EC204ACCF44917465B74F305890" ma:contentTypeVersion="12" ma:contentTypeDescription="新しいドキュメントを作成します。" ma:contentTypeScope="" ma:versionID="c797f58b68c472ce074f633d0e685ba8">
  <xsd:schema xmlns:xsd="http://www.w3.org/2001/XMLSchema" xmlns:xs="http://www.w3.org/2001/XMLSchema" xmlns:p="http://schemas.microsoft.com/office/2006/metadata/properties" xmlns:ns2="e6b97cee-b61f-48c5-98d8-2a0c94a2eecd" xmlns:ns3="3c19693a-99e6-4c8c-b322-f86aa4e208e2" targetNamespace="http://schemas.microsoft.com/office/2006/metadata/properties" ma:root="true" ma:fieldsID="bca2f1afba590d2878785f85a1ce82b7" ns2:_="" ns3:_="">
    <xsd:import namespace="e6b97cee-b61f-48c5-98d8-2a0c94a2eecd"/>
    <xsd:import namespace="3c19693a-99e6-4c8c-b322-f86aa4e208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97cee-b61f-48c5-98d8-2a0c94a2ee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79c317c-d538-4ed4-85e0-1d22358aeb3d"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19693a-99e6-4c8c-b322-f86aa4e208e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30e8e25-4d36-4dad-aea0-ea5c7fb25d4b}" ma:internalName="TaxCatchAll" ma:showField="CatchAllData" ma:web="3c19693a-99e6-4c8c-b322-f86aa4e208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3F78D2-C7DE-44E5-A58E-A9787F3E5607}">
  <ds:schemaRefs>
    <ds:schemaRef ds:uri="http://schemas.microsoft.com/sharepoint/v3/contenttype/forms"/>
  </ds:schemaRefs>
</ds:datastoreItem>
</file>

<file path=customXml/itemProps2.xml><?xml version="1.0" encoding="utf-8"?>
<ds:datastoreItem xmlns:ds="http://schemas.openxmlformats.org/officeDocument/2006/customXml" ds:itemID="{08610A82-2405-45A0-993C-DF4C52A10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b97cee-b61f-48c5-98d8-2a0c94a2eecd"/>
    <ds:schemaRef ds:uri="3c19693a-99e6-4c8c-b322-f86aa4e208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表紙</vt:lpstr>
      <vt:lpstr>人口動態</vt:lpstr>
      <vt:lpstr>人口グラフ</vt:lpstr>
      <vt:lpstr>世帯構成</vt:lpstr>
      <vt:lpstr>世帯グラフ</vt:lpstr>
      <vt:lpstr>つながりの少ない者</vt:lpstr>
      <vt:lpstr>地域別男女５歳階級別人口</vt:lpstr>
      <vt:lpstr>年齢階級別男女別世帯主割合</vt:lpstr>
      <vt:lpstr>人口データテーブル</vt:lpstr>
      <vt:lpstr>推計世帯データテーブル</vt:lpstr>
      <vt:lpstr>つながりの少ない者!Print_Area</vt:lpstr>
      <vt:lpstr>人口グラフ!Print_Area</vt:lpstr>
      <vt:lpstr>人口動態!Print_Area</vt:lpstr>
      <vt:lpstr>世帯グラフ!Print_Area</vt:lpstr>
      <vt:lpstr>世帯構成!Print_Area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清水 修(shimizu-osamu)</dc:creator>
  <cp:keywords/>
  <dc:description/>
  <cp:lastModifiedBy>井上 裕章</cp:lastModifiedBy>
  <cp:revision/>
  <cp:lastPrinted>2022-09-05T06:29:21Z</cp:lastPrinted>
  <dcterms:created xsi:type="dcterms:W3CDTF">2018-01-05T08:28:31Z</dcterms:created>
  <dcterms:modified xsi:type="dcterms:W3CDTF">2022-09-07T21:17:09Z</dcterms:modified>
  <cp:category/>
  <cp:contentStatus/>
</cp:coreProperties>
</file>